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fLUGBju6LuXZdnd8vzvM0RnJZhnV0q21tmZWcMwJhUW7lqiedq5aYGnF7IPjQWALlr3wncFHtgIiWCV16pDKCg==" workbookSaltValue="8ANcz+YTPzSALigxIDKP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U18" i="11"/>
  <c r="Y32" i="20"/>
  <c r="L32" i="20"/>
  <c r="H32" i="20"/>
  <c r="F32" i="20"/>
  <c r="G26" i="14"/>
  <c r="S32" i="20"/>
  <c r="O17" i="11"/>
  <c r="AJ32" i="20"/>
  <c r="G30" i="14"/>
  <c r="G23" i="14"/>
  <c r="AX32" i="20"/>
  <c r="AG32" i="20"/>
  <c r="T32" i="21"/>
  <c r="AF32" i="20"/>
  <c r="K32" i="20"/>
  <c r="AQ32" i="21"/>
  <c r="BF17" i="8" l="1"/>
  <c r="BF16" i="8"/>
  <c r="F16" i="11"/>
  <c r="AQ16" i="11" s="1"/>
  <c r="R13" i="17"/>
  <c r="P13" i="14"/>
  <c r="BG17" i="13"/>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K17" i="12" l="1"/>
  <c r="I16" i="12"/>
  <c r="T22" i="11"/>
  <c r="R22" i="14"/>
  <c r="S18" i="14"/>
  <c r="V18" i="14" s="1"/>
  <c r="BH30" i="16"/>
  <c r="AP14" i="20"/>
  <c r="V10" i="21"/>
  <c r="AO18" i="17"/>
  <c r="AO9" i="17"/>
  <c r="AO16" i="17"/>
  <c r="AM20" i="11"/>
  <c r="AO13"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P18" i="11" s="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Q16" i="11" s="1"/>
  <c r="AZ9" i="11"/>
  <c r="AO28" i="17"/>
  <c r="BL29" i="11"/>
  <c r="BJ25" i="11"/>
  <c r="T16" i="16"/>
  <c r="AZ16" i="11"/>
  <c r="AZ23" i="11" s="1"/>
  <c r="AZ26"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BH23" i="11" s="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Q20" i="11" s="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BV23" i="16" s="1"/>
  <c r="BV26" i="16" s="1"/>
  <c r="BV30" i="16" s="1"/>
  <c r="S22" i="17"/>
  <c r="S25" i="17"/>
  <c r="BF20" i="11"/>
  <c r="AZ11" i="11"/>
  <c r="S16" i="16"/>
  <c r="P16" i="17"/>
  <c r="P23" i="17" s="1"/>
  <c r="P31" i="17" s="1"/>
  <c r="BL20" i="11"/>
  <c r="BF12" i="11"/>
  <c r="BL16" i="11"/>
  <c r="BH25" i="16"/>
  <c r="BH21" i="11"/>
  <c r="BK20" i="11"/>
  <c r="BK23" i="11" s="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V14" i="21" l="1"/>
  <c r="V31" i="21" s="1"/>
  <c r="P13" i="11"/>
  <c r="P12" i="11"/>
  <c r="BW33" i="20"/>
  <c r="BV14" i="16"/>
  <c r="BU33" i="17"/>
  <c r="Q9" i="11"/>
  <c r="U14" i="17"/>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<sst xmlns="http://schemas.openxmlformats.org/spreadsheetml/2006/main" count="2668" uniqueCount="1185">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</sst>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awRqm2aCrMkCkIdL655b6DhgZuqtb+VVd8soyq8YvYVrmHpKBCjMHNsMEvrPHQXq5PZjfEw/9jf21ONnCoJrw==" saltValue="q2ZdiUZGIdSN6hY+FLwp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52.397849462365592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72</v>
      </c>
      <c r="D10" s="239">
        <f>IF(ISNUMBER(Datos!I10),Datos!I10," - ")</f>
        <v>72</v>
      </c>
      <c r="E10" s="240">
        <f>IF(ISNUMBER(Datos!J10),Datos!J10," - ")</f>
        <v>23</v>
      </c>
      <c r="F10" s="240">
        <f>IF(ISNUMBER(Datos!K10),Datos!K10," - ")</f>
        <v>28</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-6.9444444444444448E-2</v>
      </c>
      <c r="L10" s="1402">
        <f>IF(ISNUMBER(NºAsuntos!I10/NºAsuntos!G10),(NºAsuntos!I10/NºAsuntos!G10)*11," - ")</f>
        <v>26.321428571428569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23</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1347</v>
      </c>
      <c r="D16" s="239">
        <f>IF(ISNUMBER(IF(D_I="SI",Datos!I16,Datos!I16+Datos!AC16)),IF(D_I="SI",Datos!I16,Datos!I16+Datos!AC16)," - ")</f>
        <v>1262</v>
      </c>
      <c r="E16" s="240">
        <f>IF(ISNUMBER(IF(D_I="SI",Datos!J16,Datos!J16+Datos!AD16)),IF(D_I="SI",Datos!J16,Datos!J16+Datos!AD16)," - ")</f>
        <v>2007</v>
      </c>
      <c r="F16" s="240">
        <f>IF(ISNUMBER(IF(D_I="SI",Datos!K16,Datos!K16+Datos!AE16)),IF(D_I="SI",Datos!K16,Datos!K16+Datos!AE16)," - ")</f>
        <v>2013</v>
      </c>
      <c r="G16" s="1390" t="str">
        <f>IF(Datos!E16&lt;&gt;"",Datos!E16,Datos!D16)</f>
        <v>03</v>
      </c>
      <c r="H16" s="241">
        <f>IF(ISNUMBER(IF(D_I="SI",Datos!L16,Datos!L16+Datos!AF16)),IF(D_I="SI",Datos!L16,Datos!L16+Datos!AF16)," - ")</f>
        <v>1341</v>
      </c>
      <c r="I16" s="1400" t="str">
        <f>IF(ISNUMBER(Datos!AS16/Datos!BM16),Datos!AS16/Datos!BM16," - ")</f>
        <v xml:space="preserve"> - </v>
      </c>
      <c r="J16" s="1401">
        <f>IF(ISNUMBER(Datos!BY16/Datos!CN16),Datos!BY16/Datos!CN16," - ")</f>
        <v>0</v>
      </c>
      <c r="K16" s="244">
        <f t="shared" ref="K16:K22" si="3">IF(ISNUMBER((E16-F16)/C16),(E16-F16)/C16," - ")</f>
        <v>-4.4543429844097994E-3</v>
      </c>
      <c r="L16" s="1402">
        <f>IF(ISNUMBER(NºAsuntos!I16/NºAsuntos!G16),(NºAsuntos!I16/NºAsuntos!G16)*11," - ")</f>
        <v>7.3278688524590159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16</v>
      </c>
      <c r="D17" s="239">
        <f>IF(ISNUMBER(IF(D_I="SI",Datos!I17,Datos!I17+Datos!AC17)),IF(D_I="SI",Datos!I17,Datos!I17+Datos!AC17)," - ")</f>
        <v>16</v>
      </c>
      <c r="E17" s="240">
        <f>IF(ISNUMBER(IF(D_I="SI",Datos!J17,Datos!J17+Datos!AD17)),IF(D_I="SI",Datos!J17,Datos!J17+Datos!AD17)," - ")</f>
        <v>0</v>
      </c>
      <c r="F17" s="240">
        <f>IF(ISNUMBER(IF(D_I="SI",Datos!K17,Datos!K17+Datos!AE17)),IF(D_I="SI",Datos!K17,Datos!K17+Datos!AE17)," - ")</f>
        <v>1</v>
      </c>
      <c r="G17" s="1390" t="str">
        <f>IF(Datos!E17&lt;&gt;"",Datos!E17,Datos!D17)</f>
        <v>04</v>
      </c>
      <c r="H17" s="241">
        <f>IF(ISNUMBER(IF(D_I="SI",Datos!L17,Datos!L17+Datos!AF17)),IF(D_I="SI",Datos!L17,Datos!L17+Datos!AF17)," - ")</f>
        <v>15</v>
      </c>
      <c r="I17" s="1400" t="str">
        <f>IF(ISNUMBER(Datos!AS17/Datos!BM17),Datos!AS17/Datos!BM17," - ")</f>
        <v xml:space="preserve"> - </v>
      </c>
      <c r="J17" s="1401">
        <f>IF(ISNUMBER(Datos!BY17/Datos!CN17),Datos!BY17/Datos!CN17," - ")</f>
        <v>0</v>
      </c>
      <c r="K17" s="244">
        <f t="shared" si="3"/>
        <v>-6.25E-2</v>
      </c>
      <c r="L17" s="1402">
        <f>IF(ISNUMBER(NºAsuntos!I17/NºAsuntos!G17),(NºAsuntos!I17/NºAsuntos!G17)*11," - ")</f>
        <v>165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94</v>
      </c>
      <c r="D18" s="239">
        <f>IF(ISNUMBER(IF(D_I="SI",Datos!I18,Datos!I18+Datos!AC18)),IF(D_I="SI",Datos!I18,Datos!I18+Datos!AC18)," - ")</f>
        <v>94</v>
      </c>
      <c r="E18" s="240">
        <f>IF(ISNUMBER(IF(D_I="SI",Datos!J18,Datos!J18+Datos!AD18)),IF(D_I="SI",Datos!J18,Datos!J18+Datos!AD18)," - ")</f>
        <v>204</v>
      </c>
      <c r="F18" s="240">
        <f>IF(ISNUMBER(IF(D_I="SI",Datos!K18,Datos!K18+Datos!AE18)),IF(D_I="SI",Datos!K18,Datos!K18+Datos!AE18)," - ")</f>
        <v>172</v>
      </c>
      <c r="G18" s="1390" t="str">
        <f>IF(Datos!E18&lt;&gt;"",Datos!E18,Datos!D18)</f>
        <v>37</v>
      </c>
      <c r="H18" s="241">
        <f>IF(ISNUMBER(IF(D_I="SI",Datos!L18,Datos!L18+Datos!AF18)),IF(D_I="SI",Datos!L18,Datos!L18+Datos!AF18)," - ")</f>
        <v>126</v>
      </c>
      <c r="I18" s="1400" t="str">
        <f>IF(ISNUMBER(Datos!AS18/Datos!BM18),Datos!AS18/Datos!BM18," - ")</f>
        <v xml:space="preserve"> - </v>
      </c>
      <c r="J18" s="1401" t="str">
        <f>IF(ISNUMBER((Datos!BY18+Datos!BZ18)/Datos!CN18),(Datos!BY18+Datos!BZ18)/Datos!CN18," - ")</f>
        <v xml:space="preserve"> - </v>
      </c>
      <c r="K18" s="244">
        <f t="shared" si="3"/>
        <v>0.34042553191489361</v>
      </c>
      <c r="L18" s="1402">
        <f>IF(ISNUMBER(NºAsuntos!I18/NºAsuntos!G18),(NºAsuntos!I18/NºAsuntos!G18)*11," - ")</f>
        <v>8.0581395348837201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1457</v>
      </c>
      <c r="D23" s="1407">
        <f>SUBTOTAL(9,D16:D22)</f>
        <v>1372</v>
      </c>
      <c r="E23" s="1408">
        <f>SUBTOTAL(9,E16:E22)</f>
        <v>2211</v>
      </c>
      <c r="F23" s="1408">
        <f>SUBTOTAL(9,F16:F22)</f>
        <v>2186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1529</v>
      </c>
      <c r="D31" s="1435">
        <f>SUBTOTAL(9,D9:D30)</f>
        <v>1444</v>
      </c>
      <c r="E31" s="1436">
        <f>SUBTOTAL(9,E9:E30)</f>
        <v>2234</v>
      </c>
      <c r="F31" s="1436">
        <f>SUBTOTAL(9,F9:F30)</f>
        <v>2214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zkO8O9ZFDKj0/M30e4rhadnLLD2UG0c1KcVKDnQFyCsHXzGe/IkRuIpSS0d/v+CPLXubory5tXJ+y6V0CxSSwQ==" saltValue="5zBDHf5fwv5zSVMjFoRp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P8yNkPBfHva4UxpbhZxURUNTriTqOt1z/EPqZ7t+8WoEGnKZru0fI3nL4yzcA8D63g+3znS5eDt1WcRv+fwIw==" saltValue="xVdPltQ52K7TbXUC/0Nf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8134</v>
      </c>
      <c r="J9" s="194">
        <v>1646</v>
      </c>
      <c r="K9" s="194">
        <v>1635</v>
      </c>
      <c r="L9" s="194">
        <v>8145</v>
      </c>
      <c r="M9" s="194">
        <v>388</v>
      </c>
      <c r="N9" s="194">
        <v>798</v>
      </c>
      <c r="O9" s="194">
        <v>815</v>
      </c>
      <c r="P9" s="194">
        <v>410</v>
      </c>
      <c r="Q9" s="194">
        <v>337</v>
      </c>
      <c r="R9" s="194">
        <v>7751</v>
      </c>
      <c r="S9" s="194">
        <v>8060</v>
      </c>
      <c r="T9" s="194">
        <v>1438</v>
      </c>
      <c r="U9" s="194">
        <v>1540</v>
      </c>
      <c r="V9" s="194">
        <v>7958</v>
      </c>
      <c r="W9" s="194">
        <v>396</v>
      </c>
      <c r="X9" s="201">
        <v>686</v>
      </c>
      <c r="Y9" s="204">
        <v>273</v>
      </c>
      <c r="Z9" s="194">
        <v>131</v>
      </c>
      <c r="AA9" s="194">
        <v>132</v>
      </c>
      <c r="AB9" s="194">
        <v>272</v>
      </c>
      <c r="AC9" s="194">
        <v>0</v>
      </c>
      <c r="AD9" s="194">
        <v>0</v>
      </c>
      <c r="AE9" s="194">
        <v>0</v>
      </c>
      <c r="AF9" s="201">
        <v>0</v>
      </c>
      <c r="AG9" s="204">
        <v>250</v>
      </c>
      <c r="AH9" s="194">
        <v>131</v>
      </c>
      <c r="AI9" s="194">
        <v>93</v>
      </c>
      <c r="AJ9" s="205">
        <v>288</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8310</v>
      </c>
      <c r="AZ9" s="133">
        <f>IF(ISNUMBER(IF(J_V="SI",T9,T9+AH9)),IF(J_V="SI",T9,T9+AH9)," - ")</f>
        <v>1569</v>
      </c>
      <c r="BA9" s="134">
        <f>IF(ISNUMBER(IF(J_V="SI",U9,U9+AI9)),IF(J_V="SI",U9,U9+AI9)," - ")</f>
        <v>1633</v>
      </c>
      <c r="BB9" s="134">
        <f>IF(ISNUMBER(IF(J_V="SI",V9,V9+AJ9)),IF(J_V="SI",V9,V9+AJ9)," - ")</f>
        <v>8246</v>
      </c>
      <c r="BC9" s="135">
        <f>IF(ISNUMBER(X9),X9," - ")</f>
        <v>686</v>
      </c>
      <c r="BD9" s="136">
        <f>IF(ISNUMBER(BA9/AZ9),BA9/AZ9," - ")</f>
        <v>1.0407903123008286</v>
      </c>
      <c r="BE9" s="137">
        <f>IF(ISNUMBER(BB9/BA9),BB9/BA9, " - ")</f>
        <v>5.0496019595835886</v>
      </c>
      <c r="BF9" s="137">
        <f>IF(ISNUMBER(BC9/BA9),BC9/BA9, " - ")</f>
        <v>0.42008573178199632</v>
      </c>
      <c r="BG9" s="209">
        <f>IF(ISNUMBER((AY9+AZ9)/BA9),(AY9+AZ9)/BA9," - ")</f>
        <v>6.0496019595835886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72</v>
      </c>
      <c r="J10" s="194">
        <v>23</v>
      </c>
      <c r="K10" s="194">
        <v>28</v>
      </c>
      <c r="L10" s="194">
        <v>67</v>
      </c>
      <c r="M10" s="194">
        <v>0</v>
      </c>
      <c r="N10" s="194">
        <v>0</v>
      </c>
      <c r="O10" s="194">
        <v>0</v>
      </c>
      <c r="P10" s="194">
        <v>9</v>
      </c>
      <c r="Q10" s="194">
        <v>18</v>
      </c>
      <c r="R10" s="194">
        <v>56</v>
      </c>
      <c r="S10" s="194">
        <v>92</v>
      </c>
      <c r="T10" s="194">
        <v>30</v>
      </c>
      <c r="U10" s="194">
        <v>29</v>
      </c>
      <c r="V10" s="194">
        <v>93</v>
      </c>
      <c r="W10" s="194">
        <v>16</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1058</v>
      </c>
      <c r="AT10" s="205"/>
      <c r="AU10" s="213"/>
      <c r="AV10" s="205"/>
      <c r="AW10" s="213"/>
      <c r="AX10" s="205"/>
      <c r="AY10" s="138">
        <f t="shared" ref="AY10:BC10" si="0">IF(ISNUMBER(S10),S10," - ")</f>
        <v>92</v>
      </c>
      <c r="AZ10" s="139">
        <f t="shared" si="0"/>
        <v>30</v>
      </c>
      <c r="BA10" s="139">
        <f t="shared" si="0"/>
        <v>29</v>
      </c>
      <c r="BB10" s="139">
        <f t="shared" si="0"/>
        <v>93</v>
      </c>
      <c r="BC10" s="135">
        <f t="shared" si="0"/>
        <v>16</v>
      </c>
      <c r="BD10" s="136">
        <f>IF(ISNUMBER(BA10/AZ10),BA10/AZ10," - ")</f>
        <v>0.96666666666666667</v>
      </c>
      <c r="BE10" s="137">
        <f>IF(ISNUMBER(BB10/BA10),BB10/BA10, " - ")</f>
        <v>3.2068965517241379</v>
      </c>
      <c r="BF10" s="137">
        <f>IF(ISNUMBER(BC10/BA10),BC10/BA10, " - ")</f>
        <v>0.55172413793103448</v>
      </c>
      <c r="BG10" s="209">
        <f>IF(ISNUMBER((AY10+AZ10)/BA10),(AY10+AZ10)/BA10," - ")</f>
        <v>4.2068965517241379</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8206</v>
      </c>
      <c r="J14" s="197">
        <f t="shared" si="7"/>
        <v>1669</v>
      </c>
      <c r="K14" s="197">
        <f t="shared" si="7"/>
        <v>1663</v>
      </c>
      <c r="L14" s="197">
        <f t="shared" si="7"/>
        <v>8212</v>
      </c>
      <c r="M14" s="197">
        <f t="shared" si="7"/>
        <v>388</v>
      </c>
      <c r="N14" s="197">
        <f t="shared" si="7"/>
        <v>798</v>
      </c>
      <c r="O14" s="197">
        <f t="shared" si="7"/>
        <v>815</v>
      </c>
      <c r="P14" s="197">
        <f t="shared" si="7"/>
        <v>419</v>
      </c>
      <c r="Q14" s="197">
        <f t="shared" si="7"/>
        <v>355</v>
      </c>
      <c r="R14" s="197">
        <f t="shared" si="7"/>
        <v>7807</v>
      </c>
      <c r="S14" s="197">
        <f t="shared" si="7"/>
        <v>8152</v>
      </c>
      <c r="T14" s="197">
        <f t="shared" si="7"/>
        <v>1468</v>
      </c>
      <c r="U14" s="197">
        <f t="shared" si="7"/>
        <v>1569</v>
      </c>
      <c r="V14" s="197">
        <f t="shared" si="7"/>
        <v>8051</v>
      </c>
      <c r="W14" s="197">
        <f t="shared" si="7"/>
        <v>412</v>
      </c>
      <c r="X14" s="197">
        <f t="shared" si="7"/>
        <v>696</v>
      </c>
      <c r="Y14" s="197">
        <f t="shared" si="7"/>
        <v>273</v>
      </c>
      <c r="Z14" s="197">
        <f t="shared" si="7"/>
        <v>131</v>
      </c>
      <c r="AA14" s="197">
        <f t="shared" si="7"/>
        <v>132</v>
      </c>
      <c r="AB14" s="197">
        <f t="shared" si="7"/>
        <v>272</v>
      </c>
      <c r="AC14" s="197">
        <f t="shared" si="7"/>
        <v>0</v>
      </c>
      <c r="AD14" s="197">
        <f t="shared" si="7"/>
        <v>0</v>
      </c>
      <c r="AE14" s="197">
        <f t="shared" si="7"/>
        <v>0</v>
      </c>
      <c r="AF14" s="197">
        <f>SUBTOTAL(9,AF9:AF13)</f>
        <v>0</v>
      </c>
      <c r="AG14" s="197">
        <f t="shared" ref="AG14:AT14" si="8">SUBTOTAL(9,AG8:AG13)</f>
        <v>250</v>
      </c>
      <c r="AH14" s="197">
        <f t="shared" si="8"/>
        <v>131</v>
      </c>
      <c r="AI14" s="197">
        <f t="shared" si="8"/>
        <v>93</v>
      </c>
      <c r="AJ14" s="197">
        <f t="shared" si="8"/>
        <v>288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8402</v>
      </c>
      <c r="AZ14" s="197">
        <f>SUBTOTAL(9,AZ8:AZ13)</f>
        <v>1599</v>
      </c>
      <c r="BA14" s="197">
        <f>SUBTOTAL(9,BA8:BA13)</f>
        <v>1662</v>
      </c>
      <c r="BB14" s="197">
        <f>SUBTOTAL(9,BB8:BB13)</f>
        <v>8339</v>
      </c>
      <c r="BC14" s="197">
        <f>SUBTOTAL(9,BC8:BC13)</f>
        <v>702</v>
      </c>
      <c r="BD14" s="219">
        <f>IF(ISNUMBER(BA14/AZ14),BA14/AZ14," - ")</f>
        <v>1.0393996247654784</v>
      </c>
      <c r="BE14" s="220">
        <f>IF(ISNUMBER(BB14/BA14),BB14/BA14, " - ")</f>
        <v>5.017448856799037</v>
      </c>
      <c r="BF14" s="220">
        <f>IF(ISNUMBER(BC14/BA14),BC14/BA14, " - ")</f>
        <v>0.42238267148014441</v>
      </c>
      <c r="BG14" s="221">
        <f>IF(ISNUMBER((AY14+AZ14)/BA14),(AY14+AZ14)/BA14," - ")</f>
        <v>6.017448856799037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1262</v>
      </c>
      <c r="J16" s="196">
        <v>2007</v>
      </c>
      <c r="K16" s="196">
        <v>2013</v>
      </c>
      <c r="L16" s="196">
        <v>1341</v>
      </c>
      <c r="M16" s="196">
        <v>385</v>
      </c>
      <c r="N16" s="196">
        <v>1046</v>
      </c>
      <c r="O16" s="194">
        <v>39</v>
      </c>
      <c r="P16" s="196">
        <v>77</v>
      </c>
      <c r="Q16" s="196">
        <v>84</v>
      </c>
      <c r="R16" s="196">
        <v>304</v>
      </c>
      <c r="S16" s="196">
        <v>1146</v>
      </c>
      <c r="T16" s="196">
        <v>1767</v>
      </c>
      <c r="U16" s="196">
        <v>1749</v>
      </c>
      <c r="V16" s="196">
        <v>1200</v>
      </c>
      <c r="W16" s="196">
        <v>389</v>
      </c>
      <c r="X16" s="202">
        <v>947</v>
      </c>
      <c r="Y16" s="215">
        <v>0</v>
      </c>
      <c r="Z16" s="196">
        <v>0</v>
      </c>
      <c r="AA16" s="196">
        <v>0</v>
      </c>
      <c r="AB16" s="196">
        <v>0</v>
      </c>
      <c r="AC16" s="196">
        <v>0</v>
      </c>
      <c r="AD16" s="196">
        <v>0</v>
      </c>
      <c r="AE16" s="196">
        <v>0</v>
      </c>
      <c r="AF16" s="202">
        <v>0</v>
      </c>
      <c r="AG16" s="215">
        <v>0</v>
      </c>
      <c r="AH16" s="196">
        <v>0</v>
      </c>
      <c r="AI16" s="196">
        <v>0</v>
      </c>
      <c r="AJ16" s="216">
        <v>0</v>
      </c>
      <c r="AK16" s="195">
        <v>0</v>
      </c>
      <c r="AL16" s="196">
        <v>1</v>
      </c>
      <c r="AM16" s="196">
        <v>1</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1146</v>
      </c>
      <c r="AZ16" s="139">
        <f t="shared" si="10"/>
        <v>1767</v>
      </c>
      <c r="BA16" s="139">
        <f t="shared" si="10"/>
        <v>1749</v>
      </c>
      <c r="BB16" s="139">
        <f t="shared" si="10"/>
        <v>1200</v>
      </c>
      <c r="BC16" s="135">
        <f>IF(ISNUMBER(W16),W16," - ")</f>
        <v>389</v>
      </c>
      <c r="BD16" s="136">
        <f>IF(ISNUMBER(BA16/AZ16),BA16/AZ16," - ")</f>
        <v>0.98981324278438032</v>
      </c>
      <c r="BE16" s="137">
        <f>IF(ISNUMBER(BB16/BA16),BB16/BA16, " - ")</f>
        <v>0.68610634648370494</v>
      </c>
      <c r="BF16" s="137">
        <f>IF(ISNUMBER(BC16/BA16),BC16/BA16, " - ")</f>
        <v>0.22241280731846769</v>
      </c>
      <c r="BG16" s="209">
        <f t="shared" ref="BG16:BG22" si="11">IF(ISNUMBER((AY16+AZ16)/BA16),(AY16+AZ16)/BA16," - ")</f>
        <v>1.6655231560891939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v>
      </c>
      <c r="J17" s="196">
        <v>0</v>
      </c>
      <c r="K17" s="196">
        <v>1</v>
      </c>
      <c r="L17" s="196">
        <v>15</v>
      </c>
      <c r="M17" s="196">
        <v>0</v>
      </c>
      <c r="N17" s="196">
        <v>1</v>
      </c>
      <c r="O17" s="194">
        <v>0</v>
      </c>
      <c r="P17" s="196">
        <v>0</v>
      </c>
      <c r="Q17" s="196">
        <v>0</v>
      </c>
      <c r="R17" s="196">
        <v>2</v>
      </c>
      <c r="S17" s="196">
        <v>16</v>
      </c>
      <c r="T17" s="196">
        <v>0</v>
      </c>
      <c r="U17" s="196">
        <v>0</v>
      </c>
      <c r="V17" s="196">
        <v>16</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16</v>
      </c>
      <c r="AZ17" s="137">
        <f t="shared" si="10"/>
        <v>0</v>
      </c>
      <c r="BA17" s="137">
        <f t="shared" si="10"/>
        <v>0</v>
      </c>
      <c r="BB17" s="137">
        <f t="shared" si="10"/>
        <v>16</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204</v>
      </c>
      <c r="K18" s="196">
        <v>172</v>
      </c>
      <c r="L18" s="196">
        <v>126</v>
      </c>
      <c r="M18" s="196">
        <v>74</v>
      </c>
      <c r="N18" s="196">
        <v>106</v>
      </c>
      <c r="O18" s="196">
        <v>1</v>
      </c>
      <c r="P18" s="196">
        <v>0</v>
      </c>
      <c r="Q18" s="196">
        <v>1</v>
      </c>
      <c r="R18" s="196">
        <v>0</v>
      </c>
      <c r="S18" s="196">
        <v>137</v>
      </c>
      <c r="T18" s="196">
        <v>262</v>
      </c>
      <c r="U18" s="196">
        <v>425</v>
      </c>
      <c r="V18" s="196">
        <v>130</v>
      </c>
      <c r="W18" s="196">
        <v>56</v>
      </c>
      <c r="X18" s="202">
        <v>227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1057</v>
      </c>
      <c r="AT18" s="223"/>
      <c r="AU18" s="213"/>
      <c r="AV18" s="223"/>
      <c r="AW18" s="213"/>
      <c r="AX18" s="223"/>
      <c r="AY18" s="138">
        <f t="shared" ref="AY18:BB19" si="15">IF(ISNUMBER(S18),S18," - ")</f>
        <v>137</v>
      </c>
      <c r="AZ18" s="139">
        <f t="shared" si="15"/>
        <v>262</v>
      </c>
      <c r="BA18" s="139">
        <f t="shared" si="15"/>
        <v>425</v>
      </c>
      <c r="BB18" s="139">
        <f t="shared" si="15"/>
        <v>130</v>
      </c>
      <c r="BC18" s="135">
        <f>IF(ISNUMBER(W18),W18," - ")</f>
        <v>56</v>
      </c>
      <c r="BD18" s="136">
        <f>IF(ISNUMBER(BA18/AZ18),BA18/AZ18," - ")</f>
        <v>1.6221374045801527</v>
      </c>
      <c r="BE18" s="137">
        <f>IF(ISNUMBER(BB18/BA18),BB18/BA18, " - ")</f>
        <v>0.30588235294117649</v>
      </c>
      <c r="BF18" s="137">
        <f>IF(ISNUMBER(BC18/BA18),BC18/BA18, " - ")</f>
        <v>0.13176470588235295</v>
      </c>
      <c r="BG18" s="209">
        <f>IF(ISNUMBER((AY18+AZ18)/BA18),(AY18+AZ18)/BA18," - ")</f>
        <v>0.93882352941176472</v>
      </c>
      <c r="BH18" s="168">
        <v>2</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1372</v>
      </c>
      <c r="J23" s="197">
        <f t="shared" si="21"/>
        <v>2211</v>
      </c>
      <c r="K23" s="197">
        <f t="shared" si="21"/>
        <v>2186</v>
      </c>
      <c r="L23" s="197">
        <f t="shared" si="21"/>
        <v>1482</v>
      </c>
      <c r="M23" s="197">
        <f t="shared" si="21"/>
        <v>459</v>
      </c>
      <c r="N23" s="197">
        <f t="shared" si="21"/>
        <v>1153</v>
      </c>
      <c r="O23" s="197">
        <f t="shared" si="21"/>
        <v>40</v>
      </c>
      <c r="P23" s="197">
        <f t="shared" si="21"/>
        <v>77</v>
      </c>
      <c r="Q23" s="197">
        <f t="shared" si="21"/>
        <v>85</v>
      </c>
      <c r="R23" s="197">
        <f t="shared" si="21"/>
        <v>306</v>
      </c>
      <c r="S23" s="197">
        <f t="shared" si="21"/>
        <v>1299</v>
      </c>
      <c r="T23" s="197">
        <f t="shared" si="21"/>
        <v>2029</v>
      </c>
      <c r="U23" s="197">
        <f t="shared" si="21"/>
        <v>2174</v>
      </c>
      <c r="V23" s="197">
        <f t="shared" si="21"/>
        <v>1346</v>
      </c>
      <c r="W23" s="197">
        <f t="shared" si="21"/>
        <v>445</v>
      </c>
      <c r="X23" s="197">
        <f t="shared" si="21"/>
        <v>1174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1299</v>
      </c>
      <c r="AZ23" s="197">
        <f>SUBTOTAL(9,AZ15:AZ22)</f>
        <v>2029</v>
      </c>
      <c r="BA23" s="197">
        <f>SUBTOTAL(9,BA15:BA22)</f>
        <v>2174</v>
      </c>
      <c r="BB23" s="197">
        <f>SUBTOTAL(9,BB15:BB22)</f>
        <v>1346</v>
      </c>
      <c r="BC23" s="197">
        <f>SUBTOTAL(9,BC15:BC22)</f>
        <v>445</v>
      </c>
      <c r="BD23" s="219">
        <f>IF(ISNUMBER(BA23/AZ23),BA23/AZ23," - ")</f>
        <v>1.0714637752587481</v>
      </c>
      <c r="BE23" s="220">
        <f>IF(ISNUMBER(BB23/BA23),BB23/BA23, " - ")</f>
        <v>0.61913523459061637</v>
      </c>
      <c r="BF23" s="220">
        <f>IF(ISNUMBER(BC23/BA23),BC23/BA23, " - ")</f>
        <v>0.20469181232750691</v>
      </c>
      <c r="BG23" s="221">
        <f>IF(ISNUMBER((AY23+AZ23)/BA23),(AY23+AZ23)/BA23," - ")</f>
        <v>1.5308187672493101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9578</v>
      </c>
      <c r="J31" s="144">
        <f t="shared" si="36"/>
        <v>3880</v>
      </c>
      <c r="K31" s="144">
        <f t="shared" si="36"/>
        <v>3849</v>
      </c>
      <c r="L31" s="144">
        <f t="shared" si="36"/>
        <v>9694</v>
      </c>
      <c r="M31" s="144">
        <f t="shared" si="36"/>
        <v>847</v>
      </c>
      <c r="N31" s="144">
        <f t="shared" si="36"/>
        <v>1951</v>
      </c>
      <c r="O31" s="144">
        <f t="shared" si="36"/>
        <v>855</v>
      </c>
      <c r="P31" s="144">
        <f t="shared" si="36"/>
        <v>496</v>
      </c>
      <c r="Q31" s="144">
        <f t="shared" si="36"/>
        <v>440</v>
      </c>
      <c r="R31" s="144">
        <f t="shared" si="36"/>
        <v>8113</v>
      </c>
      <c r="S31" s="144">
        <f t="shared" si="36"/>
        <v>9451</v>
      </c>
      <c r="T31" s="144">
        <f t="shared" si="36"/>
        <v>3497</v>
      </c>
      <c r="U31" s="144">
        <f t="shared" si="36"/>
        <v>3743</v>
      </c>
      <c r="V31" s="144">
        <f t="shared" si="36"/>
        <v>9397</v>
      </c>
      <c r="W31" s="144">
        <f t="shared" si="36"/>
        <v>857</v>
      </c>
      <c r="X31" s="144">
        <f t="shared" si="36"/>
        <v>1870</v>
      </c>
      <c r="Y31" s="144">
        <f t="shared" si="36"/>
        <v>273</v>
      </c>
      <c r="Z31" s="144">
        <f t="shared" si="36"/>
        <v>131</v>
      </c>
      <c r="AA31" s="144">
        <f t="shared" si="36"/>
        <v>132</v>
      </c>
      <c r="AB31" s="144">
        <f t="shared" si="36"/>
        <v>272</v>
      </c>
      <c r="AC31" s="144">
        <f t="shared" si="36"/>
        <v>0</v>
      </c>
      <c r="AD31" s="144">
        <f t="shared" si="36"/>
        <v>0</v>
      </c>
      <c r="AE31" s="144">
        <f t="shared" si="36"/>
        <v>0</v>
      </c>
      <c r="AF31" s="144">
        <f t="shared" si="36"/>
        <v>0</v>
      </c>
      <c r="AG31" s="144">
        <f t="shared" si="36"/>
        <v>250</v>
      </c>
      <c r="AH31" s="144">
        <f t="shared" si="36"/>
        <v>131</v>
      </c>
      <c r="AI31" s="144">
        <f t="shared" si="36"/>
        <v>93</v>
      </c>
      <c r="AJ31" s="144">
        <f t="shared" si="36"/>
        <v>288</v>
      </c>
      <c r="AK31" s="144">
        <f t="shared" si="36"/>
        <v>0</v>
      </c>
      <c r="AL31" s="144">
        <f t="shared" si="36"/>
        <v>1</v>
      </c>
      <c r="AM31" s="144">
        <f t="shared" si="36"/>
        <v>1</v>
      </c>
      <c r="AN31" s="224">
        <f t="shared" si="36"/>
        <v>0</v>
      </c>
      <c r="AO31" s="225">
        <v>11</v>
      </c>
      <c r="AP31" s="225">
        <v>10</v>
      </c>
      <c r="AQ31" s="225">
        <v>10</v>
      </c>
      <c r="AR31" s="225">
        <v>10</v>
      </c>
      <c r="AS31" s="166">
        <f t="shared" si="36"/>
        <v>0</v>
      </c>
      <c r="AT31" s="166">
        <f t="shared" si="36"/>
        <v>0</v>
      </c>
      <c r="AU31" s="225"/>
      <c r="AV31" s="226"/>
      <c r="AW31" s="225"/>
      <c r="AX31" s="226"/>
      <c r="AY31" s="143">
        <f>SUBTOTAL(9,AY9:AY30)</f>
        <v>9701</v>
      </c>
      <c r="AZ31" s="144">
        <f>SUBTOTAL(9,AZ9:AZ30)</f>
        <v>3628</v>
      </c>
      <c r="BA31" s="144">
        <f>SUBTOTAL(9,BA9:BA30)</f>
        <v>3836</v>
      </c>
      <c r="BB31" s="144">
        <f>SUBTOTAL(9,BB9:BB30)</f>
        <v>9685</v>
      </c>
      <c r="BC31" s="145">
        <f>SUBTOTAL(9,BC9:BC30)</f>
        <v>1147</v>
      </c>
      <c r="BD31" s="227">
        <f>IF(ISNUMBER(BA31/AZ31),BA31/AZ31," - ")</f>
        <v>1.0573318632855568</v>
      </c>
      <c r="BE31" s="224">
        <f>IF(ISNUMBER(BB31/BA31),BB31/BA31, " - ")</f>
        <v>2.5247653806047965</v>
      </c>
      <c r="BF31" s="224">
        <f>IF(ISNUMBER(BC31/BA31),BC31/BA31, " - ")</f>
        <v>0.29900938477580813</v>
      </c>
      <c r="BG31" s="145">
        <f>IF(ISNUMBER((AY31+AZ31)/BA31),(AY31+AZ31)/BA31," - ")</f>
        <v>3.474713242961418</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k98p2AA//7j0wfuCOvotfhVrWtTZSjk/7h6QDjaY1qpzh09YIw73q5wRjnauz5fF1NYyBXMKiKZELF7mNZ5fA==" saltValue="EcReCHHHawH4aOq+CUOl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XjWEO9JErA4fGaEo6P1kGPkwSN/GhCcTyzEx6EV7SToezkeL5RoWfCu1XoZafND/lQdf+nKosGMi5ASMcd7SA==" saltValue="EW9akKO7K5/9Ds7u98B/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TORREVIEJA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131</v>
      </c>
      <c r="O9" s="549"/>
      <c r="P9" s="549"/>
      <c r="Q9" s="547">
        <f>IF(ISNUMBER(Datos!P9),Datos!P9,0)</f>
        <v>410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337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272</v>
      </c>
      <c r="AI9" s="549" t="str">
        <f>IF(ISNUMBER(Datos!CD9),Datos!CD9,"-")</f>
        <v>-</v>
      </c>
      <c r="AJ9" s="549" t="str">
        <f>IF(ISNUMBER(Datos!EN9),Datos!EN9," - ")</f>
        <v xml:space="preserve"> - </v>
      </c>
      <c r="AK9" s="549"/>
      <c r="AL9" s="550"/>
      <c r="AM9" s="766">
        <f>IF(ISNUMBER(Datos!R9),Datos!R9," - ")</f>
        <v>7751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388</v>
      </c>
      <c r="BD9" s="693">
        <f>IF(ISNUMBER(Datos!N9),Datos!N9," - ")</f>
        <v>798</v>
      </c>
      <c r="BE9" s="693" t="str">
        <f>IF(ISNUMBER(Datos!BW9),Datos!BW9," - ")</f>
        <v xml:space="preserve"> - </v>
      </c>
      <c r="BF9" s="762" t="str">
        <f>IF(ISNUMBER(Datos!BX9),Datos!BX9," - ")</f>
        <v xml:space="preserve"> - </v>
      </c>
      <c r="BG9" s="763">
        <f>IF(ISNUMBER(IF(J_V="SI",Datos!K9/Datos!J9,(Datos!K9+Datos!AA9)/(Datos!J9+Datos!Z9))),IF(J_V="SI",Datos!K9/Datos!J9,(Datos!K9+Datos!AA9)/(Datos!J9+Datos!Z9))," - ")</f>
        <v>0.99437253798536862</v>
      </c>
      <c r="BH9" s="764">
        <f>IF(ISNUMBER(((IF(J_V="SI",Datos!L9/Datos!K9,(Datos!L9+Datos!AB9)/(Datos!K9+Datos!AA9)))*11)/factor_trimestre),((IF(J_V="SI",Datos!L9/Datos!K9,(Datos!L9+Datos!AB9)/(Datos!K9+Datos!AA9)))*11)/factor_trimestre," - ")</f>
        <v>14.290322580645162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9.5076842927845785E-3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18</v>
      </c>
      <c r="AD10" s="549"/>
      <c r="AE10" s="563"/>
      <c r="AF10" s="551">
        <f>IF(ISNUMBER(Datos!L10),Datos!L10,"-")</f>
        <v>67</v>
      </c>
      <c r="AG10" s="549"/>
      <c r="AH10" s="549"/>
      <c r="AI10" s="549"/>
      <c r="AJ10" s="549"/>
      <c r="AK10" s="549"/>
      <c r="AL10" s="550"/>
      <c r="AM10" s="766">
        <f>IF(ISNUMBER(Datos!R10),Datos!R10," - ")</f>
        <v>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1.2173913043478262</v>
      </c>
      <c r="BH10" s="764">
        <f>IF(ISNUMBER(((Datos!L10/Datos!K10)*11)/factor_trimestre),((Datos!L10/Datos!K10)*11)/factor_trimestre," - ")</f>
        <v>7.1785714285714279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-0.13846153846153847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131</v>
      </c>
      <c r="O14" s="1199">
        <f t="shared" si="1"/>
        <v>0</v>
      </c>
      <c r="P14" s="1199">
        <f t="shared" si="1"/>
        <v>0</v>
      </c>
      <c r="Q14" s="1198">
        <f t="shared" si="1"/>
        <v>419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355</v>
      </c>
      <c r="AD14" s="1198">
        <f t="shared" si="2"/>
        <v>0</v>
      </c>
      <c r="AE14" s="1198">
        <f t="shared" si="2"/>
        <v>0</v>
      </c>
      <c r="AF14" s="1198">
        <f t="shared" si="2"/>
        <v>67</v>
      </c>
      <c r="AG14" s="1198">
        <f t="shared" si="2"/>
        <v>0</v>
      </c>
      <c r="AH14" s="1198">
        <f t="shared" si="2"/>
        <v>272</v>
      </c>
      <c r="AI14" s="1198">
        <f t="shared" si="2"/>
        <v>0</v>
      </c>
      <c r="AJ14" s="1198">
        <f t="shared" si="2"/>
        <v>0</v>
      </c>
      <c r="AK14" s="1198">
        <f t="shared" si="2"/>
        <v>0</v>
      </c>
      <c r="AL14" s="1198">
        <f t="shared" si="2"/>
        <v>0</v>
      </c>
      <c r="AM14" s="1198">
        <f t="shared" si="2"/>
        <v>7807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388</v>
      </c>
      <c r="BD14" s="1198">
        <f t="shared" si="2"/>
        <v>798</v>
      </c>
      <c r="BE14" s="1198">
        <f t="shared" si="2"/>
        <v>0</v>
      </c>
      <c r="BF14" s="1198">
        <f t="shared" si="2"/>
        <v>0</v>
      </c>
      <c r="BG14" s="1198">
        <f>IF(ISNUMBER(Datos!K14/Datos!J14),Datos!K14/Datos!J14," - ")</f>
        <v>0.99640503295386462</v>
      </c>
      <c r="BH14" s="1202">
        <f>IF(ISNUMBER(((Datos!L14/Datos!K14)*11)/factor_trimestre),((Datos!L14/Datos!K14)*11)/factor_trimestre," - ")</f>
        <v>14.81419122068551</v>
      </c>
      <c r="BI14" s="1198">
        <f>IF(ISNUMBER('Resol  Asuntos'!D14/NºAsuntos!G14),'Resol  Asuntos'!D14/NºAsuntos!G14," - ")</f>
        <v>0.21615598885793871</v>
      </c>
      <c r="BJ14" s="1198" t="str">
        <f>IF(ISNUMBER(Datos!CI14/Datos!CJ14),Datos!CI14/Datos!CJ14," - ")</f>
        <v xml:space="preserve"> - </v>
      </c>
      <c r="BK14" s="1198">
        <f>SUBTOTAL(9,BK8:BK13)</f>
        <v>0</v>
      </c>
      <c r="BL14" s="1198">
        <f>IF(ISNUMBER((I14-AB14+L14)/(F14)),(I14-AB14+L14)/(F14)," - ")</f>
        <v>-0.3888888888888889</v>
      </c>
      <c r="BM14" s="1203">
        <f>SUBTOTAL(9,BM9:BM13)</f>
        <v>-0.12895385416875388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1347</v>
      </c>
      <c r="G16" s="743">
        <f>IF(ISNUMBER(IF(D_I="SI",Datos!I16,Datos!I16+Datos!AC16)),IF(D_I="SI",Datos!I16,Datos!I16+Datos!AC16)," - ")</f>
        <v>1262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2013</v>
      </c>
      <c r="AC16" s="240">
        <f>IF(ISNUMBER(Datos!Q16),Datos!Q16," - ")</f>
        <v>84</v>
      </c>
      <c r="AD16" s="374"/>
      <c r="AE16" s="562"/>
      <c r="AF16" s="741">
        <f>IF(ISNUMBER(IF(D_I="SI",Datos!L16,Datos!L16+Datos!AF16)),IF(D_I="SI",Datos!L16,Datos!L16+Datos!AF16)," - ")</f>
        <v>1341</v>
      </c>
      <c r="AG16" s="374"/>
      <c r="AH16" s="374"/>
      <c r="AI16" s="374"/>
      <c r="AJ16" s="549"/>
      <c r="AK16" s="374"/>
      <c r="AL16" s="545"/>
      <c r="AM16" s="375">
        <f>IF(ISNUMBER(Datos!R16),Datos!R16," - ")</f>
        <v>304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385</v>
      </c>
      <c r="BD16" s="243">
        <f>IF(ISNUMBER(Datos!N16),Datos!N16," - ")</f>
        <v>1046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1.0029895366218236</v>
      </c>
      <c r="BH16" s="764">
        <f>IF(ISNUMBER(((IF(D_I="SI",Datos!L16/Datos!K16,(Datos!L16+Datos!AF16)/(Datos!K16+Datos!AE16)))*11)/factor_trimestre),((IF(D_I="SI",Datos!L16/Datos!K16,(Datos!L16+Datos!AF16)/(Datos!K16+Datos!AE16)))*11)/factor_trimestre," - ")</f>
        <v>1.9985096870342771</v>
      </c>
      <c r="BI16" s="266">
        <f>IF(ISNUMBER('Resol  Asuntos'!D16/NºAsuntos!G16),'Resol  Asuntos'!D16/NºAsuntos!G16," - ")</f>
        <v>0.19125683060109289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16</v>
      </c>
      <c r="G17" s="743">
        <f>IF(ISNUMBER(IF(D_I="SI",Datos!I17,Datos!I17+Datos!AC17)),IF(D_I="SI",Datos!I17,Datos!I17+Datos!AC17)," - ")</f>
        <v>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15</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45</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172</v>
      </c>
      <c r="AC18" s="547">
        <f>IF(ISNUMBER(Datos!Q18),Datos!Q18," - ")</f>
        <v>1</v>
      </c>
      <c r="AD18" s="549"/>
      <c r="AE18" s="562"/>
      <c r="AF18" s="551">
        <f>IF(ISNUMBER(Datos!L18),Datos!L18,"-")</f>
        <v>126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74</v>
      </c>
      <c r="BD18" s="693">
        <f>IF(ISNUMBER(Datos!N18),Datos!N18," - ")</f>
        <v>106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0.84313725490196079</v>
      </c>
      <c r="BH18" s="764">
        <f>IF(ISNUMBER(((IF(D_I="SI",Datos!L18/Datos!K18,(Datos!L18+Datos!AF18)/(Datos!K18+Datos!AE18)))*11)/factor_trimestre),((IF(D_I="SI",Datos!L18/Datos!K18,(Datos!L18+Datos!AF18)/(Datos!K18+Datos!AE18)))*11)/factor_trimestre," - ")</f>
        <v>2.1976744186046511</v>
      </c>
      <c r="BI18" s="763">
        <f>IF(ISNUMBER('Resol  Asuntos'!D18/NºAsuntos!G18),'Resol  Asuntos'!D18/NºAsuntos!G18," - ")</f>
        <v>0.43023255813953487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1363</v>
      </c>
      <c r="G23" s="1197">
        <f>SUBTOTAL(9,G16:G22)</f>
        <v>1372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2186</v>
      </c>
      <c r="AC23" s="1198">
        <f t="shared" si="5"/>
        <v>85</v>
      </c>
      <c r="AD23" s="1198">
        <f t="shared" si="5"/>
        <v>0</v>
      </c>
      <c r="AE23" s="1198">
        <f t="shared" si="5"/>
        <v>0</v>
      </c>
      <c r="AF23" s="1198">
        <f t="shared" si="5"/>
        <v>1482</v>
      </c>
      <c r="AG23" s="1198">
        <f t="shared" si="5"/>
        <v>0</v>
      </c>
      <c r="AH23" s="1198">
        <f t="shared" si="5"/>
        <v>0</v>
      </c>
      <c r="AI23" s="1198">
        <f t="shared" si="5"/>
        <v>0</v>
      </c>
      <c r="AJ23" s="1198">
        <f t="shared" si="5"/>
        <v>0</v>
      </c>
      <c r="AK23" s="1198">
        <f t="shared" si="5"/>
        <v>0</v>
      </c>
      <c r="AL23" s="1198">
        <f t="shared" si="5"/>
        <v>0</v>
      </c>
      <c r="AM23" s="1198">
        <f t="shared" si="5"/>
        <v>306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459</v>
      </c>
      <c r="BD23" s="1198">
        <f t="shared" si="5"/>
        <v>1153</v>
      </c>
      <c r="BE23" s="1198">
        <f t="shared" si="5"/>
        <v>0</v>
      </c>
      <c r="BF23" s="1198">
        <f t="shared" si="5"/>
        <v>0</v>
      </c>
      <c r="BG23" s="1198">
        <f>IF(ISNUMBER(Datos!K23/Datos!J23),Datos!K23/Datos!J23," - ")</f>
        <v>0.98869289914066039</v>
      </c>
      <c r="BH23" s="1202">
        <f>IF(ISNUMBER(((Datos!L23/Datos!K23)*11)/factor_trimestre),((Datos!L23/Datos!K23)*11)/factor_trimestre," - ")</f>
        <v>2.0338517840805128</v>
      </c>
      <c r="BI23" s="1198">
        <f>SUBTOTAL(9,BI16:BI22)</f>
        <v>0.62148938874062776</v>
      </c>
      <c r="BJ23" s="1198">
        <f>SUBTOTAL(9,BJ16:BJ22)</f>
        <v>0</v>
      </c>
      <c r="BK23" s="1198">
        <f>SUBTOTAL(9,BK16:BK22)</f>
        <v>0</v>
      </c>
      <c r="BL23" s="1198">
        <f>IF(ISNUMBER((I23-AB23+L23)/(F23)),(I23-AB23+L23)/(F23)," - ")</f>
        <v>-1.6038151137197358</v>
      </c>
      <c r="BM23" s="1205">
        <f>IF(ISNUMBER((Datos!P23-Datos!Q23)/(Datos!R23-Datos!P23+Datos!Q23)),(Datos!P23-Datos!Q23)/(Datos!R23-Datos!P23+Datos!Q23)," - ")</f>
        <v>-2.5477707006369428E-2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1435</v>
      </c>
      <c r="G31" s="1117">
        <f t="shared" si="18"/>
        <v>1444</v>
      </c>
      <c r="H31" s="1119">
        <f t="shared" si="18"/>
        <v>0</v>
      </c>
      <c r="I31" s="1117">
        <f t="shared" si="18"/>
        <v>0</v>
      </c>
      <c r="J31" s="1119">
        <f t="shared" si="18"/>
        <v>0</v>
      </c>
      <c r="K31" s="1119">
        <f t="shared" si="18"/>
        <v>0</v>
      </c>
      <c r="L31" s="1180">
        <f t="shared" si="18"/>
        <v>0</v>
      </c>
      <c r="M31" s="1180">
        <f t="shared" si="18"/>
        <v>0</v>
      </c>
      <c r="N31" s="1180">
        <f t="shared" si="18"/>
        <v>131</v>
      </c>
      <c r="O31" s="1180">
        <f t="shared" si="18"/>
        <v>0</v>
      </c>
      <c r="P31" s="1180">
        <f t="shared" si="18"/>
        <v>0</v>
      </c>
      <c r="Q31" s="1119">
        <f t="shared" si="18"/>
        <v>496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2214</v>
      </c>
      <c r="AC31" s="1118">
        <f t="shared" si="19"/>
        <v>440</v>
      </c>
      <c r="AD31" s="1118">
        <f t="shared" si="19"/>
        <v>0</v>
      </c>
      <c r="AE31" s="1118">
        <f t="shared" si="19"/>
        <v>0</v>
      </c>
      <c r="AF31" s="1125">
        <f t="shared" si="19"/>
        <v>1549</v>
      </c>
      <c r="AG31" s="1125">
        <f t="shared" si="19"/>
        <v>0</v>
      </c>
      <c r="AH31" s="1125">
        <f t="shared" si="19"/>
        <v>272</v>
      </c>
      <c r="AI31" s="1125">
        <f t="shared" si="19"/>
        <v>0</v>
      </c>
      <c r="AJ31" s="1118">
        <f t="shared" si="19"/>
        <v>0</v>
      </c>
      <c r="AK31" s="1125">
        <f t="shared" si="19"/>
        <v>0</v>
      </c>
      <c r="AL31" s="1125">
        <f t="shared" si="19"/>
        <v>0</v>
      </c>
      <c r="AM31" s="1125">
        <f t="shared" si="19"/>
        <v>8113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847</v>
      </c>
      <c r="BD31" s="1117">
        <f t="shared" si="19"/>
        <v>1951</v>
      </c>
      <c r="BE31" s="1117">
        <f t="shared" si="19"/>
        <v>0</v>
      </c>
      <c r="BF31" s="1127">
        <f t="shared" si="19"/>
        <v>0</v>
      </c>
      <c r="BG31" s="1223">
        <f>IF(ISNUMBER(Datos!K31/Datos!J31),Datos!K31/Datos!J31," - ")</f>
        <v>0.99201030927835054</v>
      </c>
      <c r="BH31" s="1223">
        <f>IF(ISNUMBER(((Datos!L31/Datos!K31)*11)/factor_trimestre),((Datos!L31/Datos!K31)*11)/factor_trimestre," - ")</f>
        <v>7.55572876071707</v>
      </c>
      <c r="BI31" s="1103">
        <f>IF(ISNUMBER(Datos!J31/Datos!I31),Datos!J31/Datos!I31," - ")</f>
        <v>0.4050950093965337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-1.5428571428571429</v>
      </c>
      <c r="BM31" s="1188">
        <f>IF(ISNUMBER((Datos!P31-Datos!Q31+R31)/(Datos!R31-Datos!P31+Datos!Q31-R31)),(Datos!P31-Datos!Q31+R31)/(Datos!R31-Datos!P31+Datos!Q31-R31)," - ")</f>
        <v>6.9504778453518675E-3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646.28450907217848</v>
      </c>
      <c r="G33" s="674">
        <f>IF(ISNUMBER(STDEV(G8:G30)),STDEV(G8:G30),"-")</f>
        <v>591.83974664961943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957.00574710918011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208.15305533295552</v>
      </c>
      <c r="BD33" s="673"/>
      <c r="BE33" s="673">
        <f>IF(ISNUMBER(STDEV(BE8:BE30)),STDEV(BE8:BE30),"-")</f>
        <v>0</v>
      </c>
      <c r="BF33" s="678">
        <f>IF(ISNUMBER(STDEV(BF8:BF30)),STDEV(BF8:BF30),"-")</f>
        <v>0</v>
      </c>
      <c r="BG33" s="1052">
        <f>IF(ISNUMBER(STDEV(BG8:BG30)),STDEV(BG8:BG30),"-")</f>
        <v>0.1197816990872643</v>
      </c>
      <c r="BH33" s="1058">
        <f>IF(ISNUMBER(STDEV(BH8:BH30)),STDEV(BH8:BH30),"-")</f>
        <v>15.379032170732966</v>
      </c>
      <c r="BI33" s="273">
        <f>IF(ISNUMBER(STDEV(BI8:BI30)),STDEV(BI8:BI30),"-")</f>
        <v>0.23918447268963178</v>
      </c>
      <c r="BJ33" s="244" t="str">
        <f>IF(ISNUMBER(BL33/BM33),BL33/BM33," - ")</f>
        <v xml:space="preserve"> - </v>
      </c>
      <c r="BK33" s="709"/>
      <c r="BL33" s="681">
        <f>IF(ISNUMBER(STDEV(BL8:BL30)),STDEV(BL8:BL30),"-")</f>
        <v>0.85908257221926398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7RjaSj5/qEaJgzMn9UYfEulfIDIte3Et9h/dXgVcFzuN9kdfMrSb7+yuhbQlDk8ya9K0uGgnnb+dUyVOhqxlw==" saltValue="ApyvgEChgGsdd+ebh3KF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TORREVIEJA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410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337</v>
      </c>
      <c r="AA9" s="551" t="str">
        <f>IF(ISNUMBER(IF(J_V="SI",Datos!L9,Datos!L9+Datos!AB9)-IF(Monitorios="SI",Datos!CD9,0)),
                          IF(J_V="SI",Datos!L9,Datos!L9+Datos!AB9)-IF(Monitorios="SI",Datos!CD9,0),
                          " - ")</f>
        <v xml:space="preserve"> - </v>
      </c>
      <c r="AB9" s="549"/>
      <c r="AC9" s="549"/>
      <c r="AD9" s="563"/>
      <c r="AE9" s="563">
        <f>IF(ISNUMBER(Datos!R9),Datos!R9," - ")</f>
        <v>7751</v>
      </c>
      <c r="AF9" s="693" t="str">
        <f>IF(ISNUMBER(Datos!BV9),Datos!BV9," - ")</f>
        <v xml:space="preserve"> - </v>
      </c>
      <c r="AG9" s="552" t="str">
        <f>IF(ISNUMBER(Datos!DV9),Datos!DV9," - ")</f>
        <v xml:space="preserve"> - </v>
      </c>
      <c r="AH9" s="553"/>
      <c r="AI9" s="554"/>
      <c r="AJ9" s="552">
        <f>IF(ISNUMBER(Datos!M9),Datos!M9," - ")</f>
        <v>388</v>
      </c>
      <c r="AK9" s="693">
        <f>IF(ISNUMBER(Datos!N9),Datos!N9," - ")</f>
        <v>798</v>
      </c>
      <c r="AL9" s="693" t="str">
        <f>IF(ISNUMBER(Datos!BW9),Datos!BW9," - ")</f>
        <v xml:space="preserve"> - </v>
      </c>
      <c r="AM9" s="762" t="str">
        <f>IF(ISNUMBER(Datos!BX9),Datos!BX9," - ")</f>
        <v xml:space="preserve"> - </v>
      </c>
      <c r="AN9" s="763"/>
      <c r="AO9" s="764">
        <f>IF(ISNUMBER(((NºAsuntos!I9/NºAsuntos!G9)*11)/factor_trimestre),((NºAsuntos!I9/NºAsuntos!G9)*11)/factor_trimestre," - ")</f>
        <v>14.290322580645162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9.5076842927845785E-3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18</v>
      </c>
      <c r="AA10" s="551">
        <f>IF(ISNUMBER(Datos!L10),Datos!L10,"-")</f>
        <v>67</v>
      </c>
      <c r="AB10" s="549"/>
      <c r="AC10" s="549"/>
      <c r="AD10" s="563"/>
      <c r="AE10" s="563">
        <f>IF(ISNUMBER(Datos!R10),Datos!R10," - ")</f>
        <v>56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7.1785714285714279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-0.13846153846153847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419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355</v>
      </c>
      <c r="AA14" s="1199">
        <f t="shared" si="3"/>
        <v>67</v>
      </c>
      <c r="AB14" s="1199">
        <f t="shared" si="3"/>
        <v>0</v>
      </c>
      <c r="AC14" s="1199">
        <f t="shared" si="3"/>
        <v>0</v>
      </c>
      <c r="AD14" s="1199">
        <f t="shared" si="3"/>
        <v>0</v>
      </c>
      <c r="AE14" s="1199">
        <f t="shared" si="3"/>
        <v>7807</v>
      </c>
      <c r="AF14" s="1211">
        <f t="shared" si="3"/>
        <v>0</v>
      </c>
      <c r="AG14" s="1211">
        <f t="shared" si="3"/>
        <v>0</v>
      </c>
      <c r="AH14" s="1211">
        <f t="shared" si="3"/>
        <v>0</v>
      </c>
      <c r="AI14" s="1211">
        <f t="shared" si="3"/>
        <v>0</v>
      </c>
      <c r="AJ14" s="1211">
        <f t="shared" si="3"/>
        <v>388</v>
      </c>
      <c r="AK14" s="1211">
        <f t="shared" si="3"/>
        <v>798</v>
      </c>
      <c r="AL14" s="1211">
        <f t="shared" si="3"/>
        <v>0</v>
      </c>
      <c r="AM14" s="1211">
        <f t="shared" si="3"/>
        <v>0</v>
      </c>
      <c r="AN14" s="1211">
        <f t="shared" si="3"/>
        <v>0</v>
      </c>
      <c r="AO14" s="1203">
        <f>IF(ISNUMBER(((NºAsuntos!I14/NºAsuntos!G14)*11)/factor_trimestre),((NºAsuntos!I14/NºAsuntos!G14)*11)/factor_trimestre," - ")</f>
        <v>14.179387186629528</v>
      </c>
      <c r="AP14" s="1213" t="str">
        <f>IF(ISNUMBER(Datos!CI14/Datos!CJ14),Datos!CI14/Datos!CJ14," - ")</f>
        <v xml:space="preserve"> - </v>
      </c>
      <c r="AQ14" s="1236">
        <f t="shared" ref="AQ14:AV14" si="4">SUBTOTAL(9,AQ9:AQ13)</f>
        <v>0</v>
      </c>
      <c r="AR14" s="1236">
        <f t="shared" si="4"/>
        <v>-0.12895385416875388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1347</v>
      </c>
      <c r="G16" s="552">
        <f>IF(ISNUMBER(IF(D_I="SI",Datos!I16,Datos!I16+Datos!AC16)),IF(D_I="SI",Datos!I16,Datos!I16+Datos!AC16)," - ")</f>
        <v>1262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2013</v>
      </c>
      <c r="Z16" s="805">
        <f>IF(ISNUMBER(Datos!Q16),Datos!Q16," - ")</f>
        <v>84</v>
      </c>
      <c r="AA16" s="551">
        <f>IF(ISNUMBER(IF(D_I="SI",Datos!L16,Datos!L16+Datos!AF16)),IF(D_I="SI",Datos!L16,Datos!L16+Datos!AF16)," - ")</f>
        <v>1341</v>
      </c>
      <c r="AB16" s="549"/>
      <c r="AC16" s="549"/>
      <c r="AD16" s="563"/>
      <c r="AE16" s="563">
        <f>IF(ISNUMBER(Datos!R16),Datos!R16," - ")</f>
        <v>304</v>
      </c>
      <c r="AF16" s="693" t="str">
        <f>IF(ISNUMBER(Datos!BV16),Datos!BV16," - ")</f>
        <v xml:space="preserve"> - </v>
      </c>
      <c r="AG16" s="552"/>
      <c r="AH16" s="553"/>
      <c r="AI16" s="554"/>
      <c r="AJ16" s="552">
        <f>IF(ISNUMBER(Datos!M16),Datos!M16," - ")</f>
        <v>385</v>
      </c>
      <c r="AK16" s="693">
        <f>IF(ISNUMBER(Datos!N16),Datos!N16," - ")</f>
        <v>1046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1.9985096870342771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16</v>
      </c>
      <c r="G17" s="552">
        <f>IF(ISNUMBER(IF(D_I="SI",Datos!I17,Datos!I17+Datos!AC17)),IF(D_I="SI",Datos!I17,Datos!I17+Datos!AC17)," - ")</f>
        <v>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15</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172</v>
      </c>
      <c r="Z18" s="805">
        <f>IF(ISNUMBER(Datos!Q18),Datos!Q18," - ")</f>
        <v>1</v>
      </c>
      <c r="AA18" s="551">
        <f>IF(ISNUMBER(Datos!L18),Datos!L18,"-")</f>
        <v>126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74</v>
      </c>
      <c r="AK18" s="693">
        <f>IF(ISNUMBER(Datos!N18),Datos!N18," - ")</f>
        <v>106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2.1976744186046511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1363</v>
      </c>
      <c r="G23" s="1197">
        <f>SUBTOTAL(9,G16:G22)</f>
        <v>1372</v>
      </c>
      <c r="H23" s="1240">
        <f>SUBTOTAL(9,H16:H22)</f>
        <v>0</v>
      </c>
      <c r="I23" s="1217">
        <f>SUBTOTAL(9,I16:I22)</f>
        <v>0</v>
      </c>
      <c r="J23" s="1164">
        <f>SUBTOTAL(9,J15:J22)</f>
        <v>0</v>
      </c>
      <c r="K23" s="1240">
        <f t="shared" ref="K23:S23" si="5">SUBTOTAL(9,K16:K22)</f>
        <v>0</v>
      </c>
      <c r="L23" s="1240">
        <f t="shared" si="5"/>
        <v>0</v>
      </c>
      <c r="M23" s="1240">
        <f t="shared" si="5"/>
        <v>0</v>
      </c>
      <c r="N23" s="1240">
        <f t="shared" si="5"/>
        <v>77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2186</v>
      </c>
      <c r="Z23" s="1240">
        <f t="shared" si="6"/>
        <v>85</v>
      </c>
      <c r="AA23" s="1240">
        <f t="shared" si="6"/>
        <v>1482</v>
      </c>
      <c r="AB23" s="1240">
        <f t="shared" si="6"/>
        <v>0</v>
      </c>
      <c r="AC23" s="1240">
        <f t="shared" si="6"/>
        <v>0</v>
      </c>
      <c r="AD23" s="1240">
        <f t="shared" si="6"/>
        <v>0</v>
      </c>
      <c r="AE23" s="1240">
        <f t="shared" si="6"/>
        <v>306</v>
      </c>
      <c r="AF23" s="1240">
        <f t="shared" si="6"/>
        <v>0</v>
      </c>
      <c r="AG23" s="1240">
        <f t="shared" si="6"/>
        <v>0</v>
      </c>
      <c r="AH23" s="1240">
        <f t="shared" si="6"/>
        <v>0</v>
      </c>
      <c r="AI23" s="1240">
        <f t="shared" si="6"/>
        <v>0</v>
      </c>
      <c r="AJ23" s="1240">
        <f t="shared" si="6"/>
        <v>459</v>
      </c>
      <c r="AK23" s="1240">
        <f t="shared" si="6"/>
        <v>1153</v>
      </c>
      <c r="AL23" s="1240">
        <f t="shared" si="6"/>
        <v>0</v>
      </c>
      <c r="AM23" s="1240">
        <f t="shared" si="6"/>
        <v>0</v>
      </c>
      <c r="AN23" s="1240">
        <f t="shared" si="6"/>
        <v>0</v>
      </c>
      <c r="AO23" s="1242">
        <f>IF(ISNUMBER(((NºAsuntos!I23/NºAsuntos!G23)*11)/factor_trimestre),((NºAsuntos!I23/NºAsuntos!G23)*11)/factor_trimestre," - ")</f>
        <v>2.0338517840805128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1435</v>
      </c>
      <c r="G31" s="1117">
        <f t="shared" si="12"/>
        <v>1444</v>
      </c>
      <c r="H31" s="1118">
        <f t="shared" si="12"/>
        <v>0</v>
      </c>
      <c r="I31" s="1117">
        <f t="shared" si="12"/>
        <v>0</v>
      </c>
      <c r="J31" s="1119">
        <f t="shared" si="12"/>
        <v>0</v>
      </c>
      <c r="K31" s="1117">
        <f t="shared" si="12"/>
        <v>0</v>
      </c>
      <c r="L31" s="1120">
        <f t="shared" si="12"/>
        <v>0</v>
      </c>
      <c r="M31" s="1117">
        <f t="shared" si="12"/>
        <v>0</v>
      </c>
      <c r="N31" s="1118">
        <f t="shared" si="12"/>
        <v>496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2214</v>
      </c>
      <c r="Z31" s="1124">
        <f t="shared" si="13"/>
        <v>440</v>
      </c>
      <c r="AA31" s="1125">
        <f t="shared" si="13"/>
        <v>1549</v>
      </c>
      <c r="AB31" s="1125">
        <f t="shared" si="13"/>
        <v>0</v>
      </c>
      <c r="AC31" s="1125">
        <f t="shared" si="13"/>
        <v>0</v>
      </c>
      <c r="AD31" s="1126">
        <f t="shared" si="13"/>
        <v>0</v>
      </c>
      <c r="AE31" s="1126">
        <f t="shared" si="13"/>
        <v>8113</v>
      </c>
      <c r="AF31" s="1127">
        <f t="shared" si="13"/>
        <v>0</v>
      </c>
      <c r="AG31" s="1128">
        <f t="shared" si="13"/>
        <v>0</v>
      </c>
      <c r="AH31" s="1129">
        <f t="shared" si="13"/>
        <v>0</v>
      </c>
      <c r="AI31" s="1127">
        <f t="shared" si="13"/>
        <v>0</v>
      </c>
      <c r="AJ31" s="1117">
        <f t="shared" si="13"/>
        <v>847</v>
      </c>
      <c r="AK31" s="1117">
        <f t="shared" si="13"/>
        <v>1951</v>
      </c>
      <c r="AL31" s="1117">
        <f t="shared" si="13"/>
        <v>0</v>
      </c>
      <c r="AM31" s="1130">
        <f t="shared" si="13"/>
        <v>0</v>
      </c>
      <c r="AN31" s="1120">
        <f>IF(ISNUMBER(Datos!K31/Datos!J31),Datos!K31/Datos!J31," - ")</f>
        <v>0.99201030927835054</v>
      </c>
      <c r="AO31" s="1120">
        <f>IF(ISNUMBER(FIND("06",Criterios!A8,1)),(IF(ISNUMBER(((Datos!R31/Datos!Q31)*11)/factor_trimestre),((Datos!R31/Datos!Q31)*11)/factor_trimestre," - ")),(IF(ISNUMBER(((Datos!L31/Datos!K31)*11)/factor_trimestre),((Datos!L31/Datos!K31)*11)/factor_trimestre," - ")))</f>
        <v>7.55572876071707</v>
      </c>
      <c r="AP31" s="1131" t="str">
        <f>IF(ISNUMBER(Datos!CI31/Datos!CJ31),Datos!CI31/Datos!CJ31," - ")</f>
        <v xml:space="preserve"> - </v>
      </c>
      <c r="AQ31" s="1131">
        <f>IF(OR(ISNUMBER(FIND("01",Criterios!A8,1)),ISNUMBER(FIND("02",Criterios!A8,1)),ISNUMBER(FIND("03",Criterios!A8,1)),ISNUMBER(FIND("04",Criterios!A8,1))),(J31-Y31+K31)/(F31-K31),(I31-Y31+K31)/(F31-K31))</f>
        <v>-1.5428571428571429</v>
      </c>
      <c r="AR31" s="1131">
        <f>IF(ISNUMBER((Datos!P31-Datos!Q31+O31)/(Datos!R31-Datos!P31+Datos!Q31-O31)),(Datos!P31-Datos!Q31+O31)/(Datos!R31-Datos!P31+Datos!Q31-O31)," - ")</f>
        <v>6.9504778453518675E-3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646.28450907217848</v>
      </c>
      <c r="G33" s="674">
        <f>IF(ISNUMBER(STDEV(G8:G30)),STDEV(G8:G30),"-")</f>
        <v>591.83974664961943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208.15305533295552</v>
      </c>
      <c r="AK33" s="276"/>
      <c r="AL33" s="276">
        <f>IF(ISNUMBER(STDEV(AL8:AL30)),STDEV(AL8:AL30),"-")</f>
        <v>0</v>
      </c>
      <c r="AM33" s="278">
        <f>IF(ISNUMBER(STDEV(AM8:AM30)),STDEV(AM8:AM30),"-")</f>
        <v>0</v>
      </c>
      <c r="AN33" s="660">
        <f>IF(ISNUMBER(STDEV(AN8:AN30)),STDEV(AN8:AN30),"-")</f>
        <v>0</v>
      </c>
      <c r="AO33" s="661">
        <f>IF(ISNUMBER(STDEV(AO8:AO30)),STDEV(AO8:AO30),"-")</f>
        <v>15.364989723153059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9E8TawUL3dU3x6jfOch1nCOKpr9Ad2Ihc6e2oOtfJksVR9Mpz4LNFUD+UJf6DNecZn5E3oejO2AJ0sG6Mpi9g==" saltValue="d/TYuzDc3f5e2vispeR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vlRCqKAHfhDIue+q4SIK2+tStrJprPRJGlWC+CtqYJWfofyI9Aczs85B73IY7wigJQftXeOvrAcWr23ZLg8rg==" saltValue="jJK6poYy+j8i9QAvgnyA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81hoXKpkMCANB3uzVGHaqS7dKmwdvYI90kaxpteXMtUADP/KHHTImHJA9VpRZ7k0eYhGomIj5JYax1JIZtVxQ==" saltValue="oLrZheT4V3UlS0Dr6XcI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TORREVIEJA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0.21615598885793871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0.15284536551553227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jPpaDhGDSmCMU7l8pz/j7YWh/K3HQ08PuAuNWcrIb/s3Js/E0mwmo/IeB3SZVgyXtnDgbTS8nXIjKEfTJLLLw==" saltValue="TE94IhZ6lHvqNvV1BzIF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ad9RTNarXElVvCTXYved5H0h056WEqN5qxReoXrfAxXDh92OyBZU6kc0jPsd5nzzd/Nku75cSFOiepHfF/aNBw==" saltValue="mGwJRr6OpTXze3SdXzv4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TORREVIEJA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8407</v>
      </c>
      <c r="D9" s="452">
        <f>IF(ISNUMBER(C9/Datos!BH9),C9/Datos!BH9," - ")</f>
        <v>1681.4</v>
      </c>
      <c r="E9" s="451">
        <f>IF(ISNUMBER(IF(J_V="SI",Datos!J9,Datos!J9+Datos!Z9)),IF(J_V="SI",Datos!J9,Datos!J9+Datos!Z9)," - ")</f>
        <v>1777</v>
      </c>
      <c r="F9" s="452">
        <f>IF(ISNUMBER(E9/B9),E9/B9," - ")</f>
        <v>355.4</v>
      </c>
      <c r="G9" s="451">
        <f>IF(ISNUMBER(IF(J_V="SI",Datos!K9,Datos!K9+Datos!AA9)),IF(J_V="SI",Datos!K9,Datos!K9+Datos!AA9)," - ")</f>
        <v>1767</v>
      </c>
      <c r="H9" s="452">
        <f>IF(ISNUMBER(G9/B9),G9/B9," - ")</f>
        <v>353.4</v>
      </c>
      <c r="I9" s="451">
        <f>IF(ISNUMBER(IF(J_V="SI",Datos!L9,Datos!L9+Datos!AB9)),IF(J_V="SI",Datos!L9,Datos!L9+Datos!AB9)," - ")</f>
        <v>8417</v>
      </c>
      <c r="J9" s="452">
        <f>IF(ISNUMBER(I9/B9),I9/B9," - ")</f>
        <v>1683.4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72</v>
      </c>
      <c r="D10" s="452">
        <f>IF(ISNUMBER(C10/Datos!BH10),C10/Datos!BH10," - ")</f>
        <v>36</v>
      </c>
      <c r="E10" s="451">
        <f>IF(ISNUMBER(Datos!J10),Datos!J10," - ")</f>
        <v>23</v>
      </c>
      <c r="F10" s="452">
        <f>IF(ISNUMBER(E10/B10),E10/B10," - ")</f>
        <v>11.5</v>
      </c>
      <c r="G10" s="451">
        <f>IF(ISNUMBER(Datos!K10),Datos!K10," - ")</f>
        <v>28</v>
      </c>
      <c r="H10" s="452">
        <f>IF(ISNUMBER(G10/B10),G10/B10," - ")</f>
        <v>14</v>
      </c>
      <c r="I10" s="451">
        <f>IF(ISNUMBER(Datos!L10),Datos!L10," - ")</f>
        <v>67</v>
      </c>
      <c r="J10" s="452">
        <f>IF(ISNUMBER(I10/B10),I10/B10," - ")</f>
        <v>33.5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8479</v>
      </c>
      <c r="D14" s="1147" t="str">
        <f>IF(ISNUMBER(C14/Datos!BI14),C14/Datos!BI14," - ")</f>
        <v xml:space="preserve"> - </v>
      </c>
      <c r="E14" s="1146">
        <f>SUBTOTAL(9,E8:E13)</f>
        <v>1800</v>
      </c>
      <c r="F14" s="1147">
        <f>IF(ISNUMBER(E14/B14),E14/B14," - ")</f>
        <v>300</v>
      </c>
      <c r="G14" s="1146">
        <f>SUBTOTAL(9,G8:G13)</f>
        <v>1795</v>
      </c>
      <c r="H14" s="1147">
        <f>IF(ISNUMBER(G14/B14),G14/B14," - ")</f>
        <v>299.16666666666669</v>
      </c>
      <c r="I14" s="1146">
        <f>SUBTOTAL(9,I8:I13)</f>
        <v>8484</v>
      </c>
      <c r="J14" s="1147">
        <f>IF(ISNUMBER(I14/B14),I14/B14," - ")</f>
        <v>1414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1262</v>
      </c>
      <c r="D16" s="452">
        <f>IF(ISNUMBER(C16/Datos!BH16),C16/Datos!BH16," - ")</f>
        <v>315.5</v>
      </c>
      <c r="E16" s="451">
        <f>IF(ISNUMBER(IF(D_I="SI",Datos!J16,Datos!J16+Datos!AD16)),IF(D_I="SI",Datos!J16,Datos!J16+Datos!AD16)," - ")</f>
        <v>2007</v>
      </c>
      <c r="F16" s="452">
        <f>IF(ISNUMBER(E16/B16),E16/B16," - ")</f>
        <v>501.75</v>
      </c>
      <c r="G16" s="451">
        <f>IF(ISNUMBER(IF(D_I="SI",Datos!K16,Datos!K16+Datos!AE16)),IF(D_I="SI",Datos!K16,Datos!K16+Datos!AE16)," - ")</f>
        <v>2013</v>
      </c>
      <c r="H16" s="452">
        <f>IF(ISNUMBER(G16/B16),G16/B16," - ")</f>
        <v>503.25</v>
      </c>
      <c r="I16" s="451">
        <f>IF(ISNUMBER(IF(D_I="SI",Datos!L16,Datos!L16+Datos!AF16)),IF(D_I="SI",Datos!L16,Datos!L16+Datos!AF16)," - ")</f>
        <v>1341</v>
      </c>
      <c r="J16" s="452">
        <f>IF(ISNUMBER(I16/B16),I16/B16," - ")</f>
        <v>335.25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16</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15</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94</v>
      </c>
      <c r="D18" s="452">
        <f>IF(ISNUMBER(C18/Datos!BH18),C18/Datos!BH18," - ")</f>
        <v>47</v>
      </c>
      <c r="E18" s="451">
        <f>IF(ISNUMBER(IF(D_I="SI",Datos!J18,Datos!J18+Datos!AD18)),IF(D_I="SI",Datos!J18,Datos!J18+Datos!AD18)," - ")</f>
        <v>204</v>
      </c>
      <c r="F18" s="452">
        <f>IF(ISNUMBER(E18/B18),E18/B18," - ")</f>
        <v>102</v>
      </c>
      <c r="G18" s="451">
        <f>IF(ISNUMBER(IF(D_I="SI",Datos!K18,Datos!K18+Datos!AE18)),IF(D_I="SI",Datos!K18,Datos!K18+Datos!AE18)," - ")</f>
        <v>172</v>
      </c>
      <c r="H18" s="452">
        <f>IF(ISNUMBER(G18/B18),G18/B18," - ")</f>
        <v>86</v>
      </c>
      <c r="I18" s="451">
        <f>IF(ISNUMBER(IF(D_I="SI",Datos!L18,Datos!L18+Datos!AF18)),IF(D_I="SI",Datos!L18,Datos!L18+Datos!AF18)," - ")</f>
        <v>126</v>
      </c>
      <c r="J18" s="452">
        <f>IF(ISNUMBER(I18/B18),I18/B18," - ")</f>
        <v>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1372</v>
      </c>
      <c r="D23" s="1147" t="str">
        <f>IF(ISNUMBER(C23/Datos!BI23),C23/Datos!BI23," - ")</f>
        <v xml:space="preserve"> - </v>
      </c>
      <c r="E23" s="1146">
        <f>SUBTOTAL(9,E15:E22)</f>
        <v>2211</v>
      </c>
      <c r="F23" s="1147">
        <f>IF(ISNUMBER(E23/B23),E23/B23," - ")</f>
        <v>442.2</v>
      </c>
      <c r="G23" s="1146">
        <f>SUBTOTAL(9,G15:G22)</f>
        <v>2186</v>
      </c>
      <c r="H23" s="1147">
        <f>IF(ISNUMBER(G23/B23),G23/B23," - ")</f>
        <v>437.2</v>
      </c>
      <c r="I23" s="1146">
        <f>SUBTOTAL(9,I15:I22)</f>
        <v>1482</v>
      </c>
      <c r="J23" s="1147">
        <f>IF(ISNUMBER(I23/B23),I23/B23," - ")</f>
        <v>296.39999999999998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9851</v>
      </c>
      <c r="D31" s="1085" t="str">
        <f>IF(ISNUMBER(C31/Datos!BI31),C31/Datos!BI31," - ")</f>
        <v xml:space="preserve"> - </v>
      </c>
      <c r="E31" s="1084">
        <f>SUBTOTAL(9,E9:E30)</f>
        <v>4011</v>
      </c>
      <c r="F31" s="1085">
        <f>IF(ISNUMBER(E31/B31),E31/B31," - ")</f>
        <v>401.1</v>
      </c>
      <c r="G31" s="1084">
        <f>SUBTOTAL(9,G9:G30)</f>
        <v>3981</v>
      </c>
      <c r="H31" s="1085">
        <f>IF(ISNUMBER(G31/B31),G31/B31," - ")</f>
        <v>398.1</v>
      </c>
      <c r="I31" s="1084">
        <f>SUBTOTAL(9,I9:I30)</f>
        <v>9966</v>
      </c>
      <c r="J31" s="1085">
        <f>IF(ISNUMBER(I31/B31),I31/B31," - ")</f>
        <v>996.6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SBxH0aRFT3KvaDFZU1B52rLkCaoF69tu0uF67Zg7AIeBBSG/ykH3ZG02AkMVkd/WchJWkw6rzJbz1X9+KtAqg==" saltValue="/ZUfYw8479XfDlzvmPPP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TORREVIEJA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7.1785714285714279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0</v>
      </c>
      <c r="AE14" s="1257">
        <f t="shared" si="1"/>
        <v>0</v>
      </c>
      <c r="AF14" s="1257">
        <f t="shared" si="1"/>
        <v>67</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f t="shared" si="1"/>
        <v>0</v>
      </c>
      <c r="AP14" s="1262">
        <f>IF(ISNUMBER(((Datos!L14/Datos!K14)*11)/factor_trimestre),((Datos!L14/Datos!K14)*11)/factor_trimestre," - ")</f>
        <v>14.81419122068551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-0.3888888888888889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2.0338517840805128</v>
      </c>
      <c r="AQ23" s="1262">
        <f>IF(ISNUMBER(((Datos!M23/Datos!L23)*11)/factor_trimestre),((Datos!M23/Datos!L23)*11)/factor_trimestre," - ")</f>
        <v>0.92914979757085014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-2.5477707006369428E-2</v>
      </c>
      <c r="AW23" s="1265">
        <f>IF(ISNUMBER((Datos!Q23-Datos!R23)/(Datos!S23-Datos!Q23+Datos!R23)),(Datos!Q23-Datos!R23)/(Datos!S23-Datos!Q23+Datos!R23)," - ")</f>
        <v>-0.14539473684210527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0</v>
      </c>
      <c r="AE31" s="1284">
        <f t="shared" si="9"/>
        <v>0</v>
      </c>
      <c r="AF31" s="1285">
        <f t="shared" si="9"/>
        <v>67</v>
      </c>
      <c r="AG31" s="1285">
        <f t="shared" si="9"/>
        <v>0</v>
      </c>
      <c r="AH31" s="1285">
        <f t="shared" si="9"/>
        <v>0</v>
      </c>
      <c r="AI31" s="1285">
        <f t="shared" si="9"/>
        <v>0</v>
      </c>
      <c r="AJ31" s="1286">
        <f t="shared" si="9"/>
        <v>0</v>
      </c>
      <c r="AK31" s="1286">
        <f t="shared" si="9"/>
        <v>0</v>
      </c>
      <c r="AL31" s="1278">
        <f t="shared" si="9"/>
        <v>0</v>
      </c>
      <c r="AM31" s="1278">
        <f t="shared" si="9"/>
        <v>0</v>
      </c>
      <c r="AN31" s="1278">
        <f t="shared" si="9"/>
        <v>0</v>
      </c>
      <c r="AO31" s="1278">
        <f t="shared" si="9"/>
        <v>0</v>
      </c>
      <c r="AP31" s="1278">
        <f>IF(ISNUMBER(((Datos!L31/Datos!K31)*11)/factor_trimestre),((Datos!L31/Datos!K31)*11)/factor_trimestre," - ")</f>
        <v>7.55572876071707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-0.3888888888888889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6.9504778453518675E-3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0</v>
      </c>
      <c r="AM33" s="1006"/>
      <c r="AN33" s="1006">
        <f>IF(ISNUMBER(STDEV(AN8:AN30)),STDEV(AN8:AN30),"-")</f>
        <v>0</v>
      </c>
      <c r="AO33" s="1012">
        <f>IF(ISNUMBER(STDEV(AO8:AO30)),STDEV(AO8:AO30),"-")</f>
        <v>0</v>
      </c>
      <c r="AP33" s="1065">
        <f>IF(ISNUMBER(STDEV(AP8:AP30)),STDEV(AP8:AP30),"-")</f>
        <v>6.4304990208766855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dJy6ECVqURcVgfi9urTlAhqxLoZraiSqxLq5HJqOoDYG87JXNM3sncuufrVMWfxHQWCgR6v084Dr4s38hr/vg==" saltValue="AfyQNuXncdHDsVpqWRfI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TORREVIEJA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U/pTto57bptcNGjVlgX5SqYLqG0iunHPkkPtCf5oTbbDvbMHZqKViZhMS7WfXgfHY6uqXpLD/k9cbdODlYp2w==" saltValue="ipttMcgSyA6MGrzssK9w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TORREVIEJA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388</v>
      </c>
      <c r="E9" s="452">
        <f t="shared" ref="E9:E14" si="0">IF(ISNUMBER(D9/B9),D9/B9," - ")</f>
        <v>77.599999999999994</v>
      </c>
      <c r="F9" s="451">
        <f>IF(ISNUMBER(Datos!N9),Datos!N9," - ")</f>
        <v>798</v>
      </c>
      <c r="G9" s="452">
        <f t="shared" ref="G9:G14" si="1">IF(ISNUMBER(F9/B9),F9/B9," - ")</f>
        <v>159.6</v>
      </c>
      <c r="H9" s="451">
        <f>IF(ISNUMBER(Datos!O9),Datos!O9," - ")</f>
        <v>815</v>
      </c>
      <c r="I9" s="452">
        <f>IF(ISNUMBER(H9/B9),H9/B9," - ")</f>
        <v>163</v>
      </c>
    </row>
    <row r="10" spans="1:9">
      <c r="A10" s="450" t="str">
        <f>Datos!A10</f>
        <v>Jdos. Violencia contra la mujer</v>
      </c>
      <c r="B10" s="480">
        <f>Datos!AO10</f>
        <v>2</v>
      </c>
      <c r="C10" s="458">
        <f>Datos!AQ10</f>
        <v>1</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388</v>
      </c>
      <c r="E14" s="1147">
        <f t="shared" si="0"/>
        <v>55.428571428571431</v>
      </c>
      <c r="F14" s="1146">
        <f>SUBTOTAL(9,F9:F13)</f>
        <v>798</v>
      </c>
      <c r="G14" s="1147">
        <f t="shared" si="1"/>
        <v>114</v>
      </c>
      <c r="H14" s="1146">
        <f>SUBTOTAL(9,H9:H13)</f>
        <v>815</v>
      </c>
      <c r="I14" s="1147">
        <f>IF(ISNUMBER(H14/B14),H14/B14," - ")</f>
        <v>116.42857142857143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385</v>
      </c>
      <c r="E16" s="452">
        <f t="shared" ref="E16:E23" si="3">IF(ISNUMBER(D16/B16),D16/B16," - ")</f>
        <v>96.25</v>
      </c>
      <c r="F16" s="451">
        <f>IF(ISNUMBER(Datos!N16),Datos!N16," - ")</f>
        <v>1046</v>
      </c>
      <c r="G16" s="452">
        <f t="shared" ref="G16:G23" si="4">IF(ISNUMBER(F16/B16),F16/B16," - ")</f>
        <v>261.5</v>
      </c>
      <c r="H16" s="451">
        <f>IF(ISNUMBER(Datos!O16),Datos!O16," - ")</f>
        <v>39</v>
      </c>
      <c r="I16" s="452">
        <f t="shared" ref="I16:I22" si="5">IF(ISNUMBER(H16/B16),H16/B16," - ")</f>
        <v>9.75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1</v>
      </c>
      <c r="G17" s="452" t="str">
        <f t="shared" si="4"/>
        <v xml:space="preserve"> - </v>
      </c>
      <c r="H17" s="451">
        <f>IF(ISNUMBER(Datos!O17),Datos!O17," - ")</f>
        <v>0</v>
      </c>
      <c r="I17" s="452" t="str">
        <f t="shared" si="5"/>
        <v xml:space="preserve"> - </v>
      </c>
    </row>
    <row r="18" spans="1:9">
      <c r="A18" s="450" t="str">
        <f>Datos!A18</f>
        <v>Jdos. Violencia contra la mujer</v>
      </c>
      <c r="B18" s="480">
        <f>Datos!AO18</f>
        <v>2</v>
      </c>
      <c r="C18" s="481">
        <f>Datos!AQ18</f>
        <v>1</v>
      </c>
      <c r="D18" s="451">
        <f>IF(ISNUMBER(Datos!M18),Datos!M18," - ")</f>
        <v>74</v>
      </c>
      <c r="E18" s="452">
        <f>IF(ISNUMBER(D18/B18),D18/B18," - ")</f>
        <v>37</v>
      </c>
      <c r="F18" s="451">
        <f>IF(ISNUMBER(Datos!N18),Datos!N18," - ")</f>
        <v>106</v>
      </c>
      <c r="G18" s="452">
        <f>IF(ISNUMBER(F18/B18),F18/B18," - ")</f>
        <v>53</v>
      </c>
      <c r="H18" s="451">
        <f>IF(ISNUMBER(Datos!O18),Datos!O18," - ")</f>
        <v>1</v>
      </c>
      <c r="I18" s="452">
        <f t="shared" si="5"/>
        <v>0.5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459</v>
      </c>
      <c r="E23" s="1147">
        <f t="shared" si="3"/>
        <v>76.5</v>
      </c>
      <c r="F23" s="1146">
        <f>SUBTOTAL(9,F16:F22)</f>
        <v>1153</v>
      </c>
      <c r="G23" s="1147">
        <f t="shared" si="4"/>
        <v>192.16666666666666</v>
      </c>
      <c r="H23" s="1146">
        <f>SUBTOTAL(9,H16:H22)</f>
        <v>40</v>
      </c>
      <c r="I23" s="1147">
        <f>IF(ISNUMBER(H23/B23),H23/B23," - ")</f>
        <v>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847</v>
      </c>
      <c r="E31" s="1085">
        <f>IF(ISNUMBER(D31/B31),D31/B31," - ")</f>
        <v>84.7</v>
      </c>
      <c r="F31" s="1084">
        <f>SUBTOTAL(9,F8:F30)</f>
        <v>1951</v>
      </c>
      <c r="G31" s="1085">
        <f>IF(ISNUMBER(F31/B31),F31/B31," - ")</f>
        <v>195.1</v>
      </c>
      <c r="H31" s="1084">
        <f>SUBTOTAL(9,H8:H30)</f>
        <v>855</v>
      </c>
      <c r="I31" s="1085">
        <f>IF(ISNUMBER(H31/B31),H31/B31," - ")</f>
        <v>85.5</v>
      </c>
    </row>
    <row r="34" spans="1:1">
      <c r="A34" s="439" t="str">
        <f>Criterios!A4</f>
        <v>Fecha Informe: 06 may. 2023</v>
      </c>
    </row>
    <row r="39" spans="1:1">
      <c r="A39" s="462"/>
    </row>
  </sheetData>
  <sheetProtection algorithmName="SHA-512" hashValue="SZToGK29S1NC/EeIrkQMX1L/WXlIE3bDb0HzZMaTYb9AEwT8AETRpuICWTKYDVIEU9JSZLYdPHTN6lD317Bprw==" saltValue="1WlwCFuqnXg501ZBKVUV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TORREVIEJA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410</v>
      </c>
      <c r="C9" s="489">
        <f>IF(ISNUMBER(Datos!Q9),Datos!Q9," - ")</f>
        <v>337</v>
      </c>
      <c r="D9" s="456">
        <f>IF(ISNUMBER(Datos!R9),Datos!R9," - ")</f>
        <v>7751</v>
      </c>
    </row>
    <row r="10" spans="1:4">
      <c r="A10" s="450" t="str">
        <f>Datos!A10</f>
        <v>Jdos. Violencia contra la mujer</v>
      </c>
      <c r="B10" s="488">
        <f>IF(ISNUMBER(Datos!P10),Datos!P10," - ")</f>
        <v>9</v>
      </c>
      <c r="C10" s="489">
        <f>IF(ISNUMBER(Datos!Q10),Datos!Q10," - ")</f>
        <v>18</v>
      </c>
      <c r="D10" s="456">
        <f>IF(ISNUMBER(Datos!R10),Datos!R10," - ")</f>
        <v>56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419</v>
      </c>
      <c r="C14" s="1150">
        <f>SUBTOTAL(9,C9:C13)</f>
        <v>355</v>
      </c>
      <c r="D14" s="1148">
        <f>SUBTOTAL(9,D9:D13)</f>
        <v>7807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77</v>
      </c>
      <c r="C16" s="489">
        <f>IF(ISNUMBER(Datos!Q16),Datos!Q16," - ")</f>
        <v>84</v>
      </c>
      <c r="D16" s="456">
        <f>IF(ISNUMBER(Datos!R16),Datos!R16," - ")</f>
        <v>304</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77</v>
      </c>
      <c r="C23" s="1150">
        <f>SUBTOTAL(9,C16:C22)</f>
        <v>85</v>
      </c>
      <c r="D23" s="1148">
        <f>SUBTOTAL(9,D16:D22)</f>
        <v>306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496</v>
      </c>
      <c r="C31" s="1089">
        <f>SUBTOTAL(9,C8:C30)</f>
        <v>440</v>
      </c>
      <c r="D31" s="1090">
        <f>SUBTOTAL(9,D8:D30)</f>
        <v>8113</v>
      </c>
    </row>
    <row r="32" spans="1:4" ht="7.5" customHeight="1"/>
    <row r="33" spans="1:1" ht="6" customHeight="1"/>
    <row r="34" spans="1:1">
      <c r="A34" s="439" t="str">
        <f>Criterios!A4</f>
        <v>Fecha Informe: 06 may. 2023</v>
      </c>
    </row>
    <row r="39" spans="1:1">
      <c r="A39" s="462"/>
    </row>
  </sheetData>
  <sheetProtection algorithmName="SHA-512" hashValue="gCOdH2/p3OlIR/VBBFPKg//Nm+nX27lHli+TKzkxDLP8icRyzm6eETiNLWoxYYphVTtotvLUK52bplS8jpnNtw==" saltValue="x+gpQ6ASNr9MnBNkWPg8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TORREVIEJA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1.1672683513838749E-2</v>
      </c>
      <c r="C9" s="515">
        <f>IF(ISNUMBER(
   IF(J_V="SI",(Datos!J9-Datos!T9)/Datos!T9,(Datos!J9+Datos!Z9-(Datos!T9+Datos!AH9))/(Datos!T9+Datos!AH9))
     ),IF(J_V="SI",(Datos!J9-Datos!T9)/Datos!T9,(Datos!J9+Datos!Z9-(Datos!T9+Datos!AH9))/(Datos!T9+Datos!AH9))," - ")</f>
        <v>0.13256851497769279</v>
      </c>
      <c r="D9" s="515">
        <f>IF(ISNUMBER(
   IF(J_V="SI",(Datos!K9-Datos!U9)/Datos!U9,(Datos!K9+Datos!AA9-(Datos!U9+Datos!AI9))/(Datos!U9+Datos!AI9))
     ),IF(J_V="SI",(Datos!K9-Datos!U9)/Datos!U9,(Datos!K9+Datos!AA9-(Datos!U9+Datos!AI9))/(Datos!U9+Datos!AI9))," - ")</f>
        <v>8.2057562767911818E-2</v>
      </c>
      <c r="E9" s="515">
        <f>IF(ISNUMBER(
   IF(J_V="SI",(Datos!L9-Datos!V9)/Datos!V9,(Datos!L9+Datos!AB9-(Datos!V9+Datos!AJ9))/(Datos!V9+Datos!AJ9))
     ),IF(J_V="SI",(Datos!L9-Datos!V9)/Datos!V9,(Datos!L9+Datos!AB9-(Datos!V9+Datos!AJ9))/(Datos!V9+Datos!AJ9))," - ")</f>
        <v>2.0737327188940093E-2</v>
      </c>
      <c r="F9" s="515">
        <f>IF(ISNUMBER((Datos!M9-Datos!W9)/Datos!W9),(Datos!M9-Datos!W9)/Datos!W9," - ")</f>
        <v>-2.0202020202020204E-2</v>
      </c>
      <c r="G9" s="516">
        <f>IF(ISNUMBER((Datos!N9-Datos!X9)/Datos!X9),(Datos!N9-Datos!X9)/Datos!X9," - ")</f>
        <v>0.16326530612244897</v>
      </c>
      <c r="H9" s="514">
        <f>IF(ISNUMBER(((NºAsuntos!G9/NºAsuntos!E9)-Datos!BD9)/Datos!BD9),((NºAsuntos!G9/NºAsuntos!E9)-Datos!BD9)/Datos!BD9," - ")</f>
        <v>-4.4598584140206218E-2</v>
      </c>
      <c r="I9" s="515">
        <f>IF(ISNUMBER(((NºAsuntos!I9/NºAsuntos!G9)-Datos!BE9)/Datos!BE9),((NºAsuntos!I9/NºAsuntos!G9)-Datos!BE9)/Datos!BE9," - ")</f>
        <v>-5.6670030956684089E-2</v>
      </c>
      <c r="J9" s="521">
        <f>IF(ISNUMBER((('Resol  Asuntos'!D9/NºAsuntos!G9)-Datos!BF9)/Datos!BF9),(('Resol  Asuntos'!D9/NºAsuntos!G9)-Datos!BF9)/Datos!BF9," - ")</f>
        <v>-0.47729428904717358</v>
      </c>
      <c r="K9" s="522">
        <f>IF(ISNUMBER((((NºAsuntos!C9+NºAsuntos!E9)/NºAsuntos!G9)-Datos!BG9)/Datos!BG9),(((NºAsuntos!C9+NºAsuntos!E9)/NºAsuntos!G9)-Datos!BG9)/Datos!BG9," - ")</f>
        <v>-4.7302467382206399E-2</v>
      </c>
    </row>
    <row r="10" spans="1:11">
      <c r="A10" s="450" t="str">
        <f>Datos!A10</f>
        <v>Jdos. Violencia contra la mujer</v>
      </c>
      <c r="B10" s="514">
        <f>IF(ISNUMBER((Datos!I10-Datos!S10)/Datos!S10),(Datos!I10-Datos!S10)/Datos!S10," - ")</f>
        <v>-0.21739130434782608</v>
      </c>
      <c r="C10" s="515">
        <f>IF(ISNUMBER((Datos!J10-Datos!T10)/Datos!T10),(Datos!J10-Datos!T10)/Datos!T10," - ")</f>
        <v>-0.23333333333333334</v>
      </c>
      <c r="D10" s="515">
        <f>IF(ISNUMBER((Datos!K10-Datos!U10)/Datos!U10),(Datos!K10-Datos!U10)/Datos!U10," - ")</f>
        <v>-3.4482758620689655E-2</v>
      </c>
      <c r="E10" s="515">
        <f>IF(ISNUMBER((Datos!L10-Datos!V10)/Datos!V10),(Datos!L10-Datos!V10)/Datos!V10," - ")</f>
        <v>-0.27956989247311825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0.25937031484257878</v>
      </c>
      <c r="I10" s="515">
        <f>IF(ISNUMBER(((NºAsuntos!I10/NºAsuntos!G10)-Datos!BE10)/Datos!BE10),((NºAsuntos!I10/NºAsuntos!G10)-Datos!BE10)/Datos!BE10," - ")</f>
        <v>-0.25384024577572967</v>
      </c>
      <c r="J10" s="521">
        <f>IF(ISNUMBER((('Resol  Asuntos'!D10/NºAsuntos!G10)-Datos!BF10)/Datos!BF10),(('Resol  Asuntos'!D10/NºAsuntos!G10)-Datos!BF10)/Datos!BF10," - ")</f>
        <v>-1</v>
      </c>
      <c r="K10" s="522">
        <f>IF(ISNUMBER((((NºAsuntos!C10+NºAsuntos!E10)/NºAsuntos!G10)-Datos!BG10)/Datos!BG10),(((NºAsuntos!C10+NºAsuntos!E10)/NºAsuntos!G10)-Datos!BG10)/Datos!BG10," - ")</f>
        <v>-0.19350117096018737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9.1644846465127345E-3</v>
      </c>
      <c r="C14" s="1152">
        <f>IF(ISNUMBER(
   IF(J_V="SI",(Datos!J14-Datos!T14)/Datos!T14,(Datos!J14+Datos!Z14-(Datos!T14+Datos!AH14))/(Datos!T14+Datos!AH14))
     ),IF(J_V="SI",(Datos!J14-Datos!T14)/Datos!T14,(Datos!J14+Datos!Z14-(Datos!T14+Datos!AH14))/(Datos!T14+Datos!AH14))," - ")</f>
        <v>0.12570356472795496</v>
      </c>
      <c r="D14" s="1152">
        <f>IF(ISNUMBER(
   IF(J_V="SI",(Datos!K14-Datos!U14)/Datos!U14,(Datos!K14+Datos!AA14-(Datos!U14+Datos!AI14))/(Datos!U14+Datos!AI14))
     ),IF(J_V="SI",(Datos!K14-Datos!U14)/Datos!U14,(Datos!K14+Datos!AA14-(Datos!U14+Datos!AI14))/(Datos!U14+Datos!AI14))," - ")</f>
        <v>8.0024067388688322E-2</v>
      </c>
      <c r="E14" s="1152">
        <f>IF(ISNUMBER(
   IF(J_V="SI",(Datos!L14-Datos!V14)/Datos!V14,(Datos!L14+Datos!AB14-(Datos!V14+Datos!AJ14))/(Datos!V14+Datos!AJ14))
     ),IF(J_V="SI",(Datos!L14-Datos!V14)/Datos!V14,(Datos!L14+Datos!AB14-(Datos!V14+Datos!AJ14))/(Datos!V14+Datos!AJ14))," - ")</f>
        <v>1.7388176040292601E-2</v>
      </c>
      <c r="F14" s="1153">
        <f>IF(ISNUMBER((Datos!M14-Datos!W14)/Datos!W14),(Datos!M14-Datos!W14)/Datos!W14," - ")</f>
        <v>-5.8252427184466021E-2</v>
      </c>
      <c r="G14" s="1154">
        <f>IF(ISNUMBER((Datos!N14-Datos!X14)/Datos!X14),(Datos!N14-Datos!X14)/Datos!X14," - ")</f>
        <v>0.14655172413793102</v>
      </c>
      <c r="H14" s="1154">
        <f>IF(ISNUMBER(((NºAsuntos!G14/NºAsuntos!E14)-Datos!BD14)/Datos!BD14),((NºAsuntos!G14/NºAsuntos!E14)-Datos!BD14)/Datos!BD14," - ")</f>
        <v>-4.057862013638186E-2</v>
      </c>
      <c r="I14" s="1154">
        <f>IF(ISNUMBER(((NºAsuntos!I14/NºAsuntos!G14)-Datos!BE14)/Datos!BE14),((NºAsuntos!I14/NºAsuntos!G14)-Datos!BE14)/Datos!BE14," - ")</f>
        <v>-5.7994903298625909E-2</v>
      </c>
      <c r="J14" s="1154">
        <f>IF(ISNUMBER((('Resol  Asuntos'!D14/NºAsuntos!G14)-Datos!BF14)/Datos!BF14),(('Resol  Asuntos'!D14/NºAsuntos!G14)-Datos!BF14)/Datos!BF14," - ")</f>
        <v>-0.48824607766111944</v>
      </c>
      <c r="K14" s="1154">
        <f>IF(ISNUMBER((((NºAsuntos!C14+NºAsuntos!E14)/NºAsuntos!G14)-Datos!BG14)/Datos!BG14),(((NºAsuntos!C14+NºAsuntos!E14)/NºAsuntos!G14)-Datos!BG14)/Datos!BG14," - ")</f>
        <v>-4.835711414930921E-2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0.1012216404886562</v>
      </c>
      <c r="C16" s="515">
        <f>IF(ISNUMBER(
   IF(D_I="SI",(Datos!J16-Datos!T16)/Datos!T16,(Datos!J16+Datos!AD16-(Datos!T16+Datos!AL16))/(Datos!T16+Datos!AL16))
     ),IF(D_I="SI",(Datos!J16-Datos!T16)/Datos!T16,(Datos!J16+Datos!AD16-(Datos!T16+Datos!AL16))/(Datos!T16+Datos!AL16))," - ")</f>
        <v>0.13582342954159593</v>
      </c>
      <c r="D16" s="515">
        <f>IF(ISNUMBER(
   IF(D_I="SI",(Datos!K16-Datos!U16)/Datos!U16,(Datos!K16+Datos!AE16-(Datos!U16+Datos!AM16))/(Datos!U16+Datos!AM16))
     ),IF(D_I="SI",(Datos!K16-Datos!U16)/Datos!U16,(Datos!K16+Datos!AE16-(Datos!U16+Datos!AM16))/(Datos!U16+Datos!AM16))," - ")</f>
        <v>0.15094339622641509</v>
      </c>
      <c r="E16" s="515">
        <f>IF(ISNUMBER(
   IF(D_I="SI",(Datos!L16-Datos!V16)/Datos!V16,(Datos!L16+Datos!AF16-(Datos!V16+Datos!AN16))/(Datos!V16+Datos!AN16))
     ),IF(D_I="SI",(Datos!L16-Datos!V16)/Datos!V16,(Datos!L16+Datos!AF16-(Datos!V16+Datos!AN16))/(Datos!V16+Datos!AN16))," - ")</f>
        <v>0.11749999999999999</v>
      </c>
      <c r="F16" s="515">
        <f>IF(ISNUMBER((Datos!M16-Datos!W16)/Datos!W16),(Datos!M16-Datos!W16)/Datos!W16," - ")</f>
        <v>-1.0282776349614395E-2</v>
      </c>
      <c r="G16" s="516">
        <f>IF(ISNUMBER((Datos!N16-Datos!X16)/Datos!X16),(Datos!N16-Datos!X16)/Datos!X16," - ")</f>
        <v>0.10454065469904963</v>
      </c>
      <c r="H16" s="514">
        <f>IF(ISNUMBER(((NºAsuntos!G16/NºAsuntos!E16)-Datos!BD16)/Datos!BD16),((NºAsuntos!G16/NºAsuntos!E16)-Datos!BD16)/Datos!BD16," - ")</f>
        <v>1.331189891981829E-2</v>
      </c>
      <c r="I16" s="515">
        <f>IF(ISNUMBER(((NºAsuntos!I16/NºAsuntos!G16)-Datos!BE16)/Datos!BE16),((NºAsuntos!I16/NºAsuntos!G16)-Datos!BE16)/Datos!BE16," - ")</f>
        <v>-2.9057377049180325E-2</v>
      </c>
      <c r="J16" s="521">
        <f>IF(ISNUMBER((('Resol  Asuntos'!D16/NºAsuntos!G16)-Datos!BF16)/Datos!BF16),(('Resol  Asuntos'!D16/NºAsuntos!G16)-Datos!BF16)/Datos!BF16," - ")</f>
        <v>-0.14008175650048466</v>
      </c>
      <c r="K16" s="522">
        <f>IF(ISNUMBER((((NºAsuntos!C16+NºAsuntos!E16)/NºAsuntos!G16)-Datos!BG16)/Datos!BG16),(((NºAsuntos!C16+NºAsuntos!E16)/NºAsuntos!G16)-Datos!BG16)/Datos!BG16," - ")</f>
        <v>-2.4964404900586996E-2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-6.25E-2</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-0.31386861313868614</v>
      </c>
      <c r="C18" s="515">
        <f>IF(ISNUMBER(
   IF(D_I="SI",(Datos!J18-Datos!T18)/Datos!T18,(Datos!J18+Datos!AD18-(Datos!T18+Datos!AL18))/(Datos!T18+Datos!AL18))
     ),IF(D_I="SI",(Datos!J18-Datos!T18)/Datos!T18,(Datos!J18+Datos!AD18-(Datos!T18+Datos!AL18))/(Datos!T18+Datos!AL18))," - ")</f>
        <v>-0.22137404580152673</v>
      </c>
      <c r="D18" s="515">
        <f>IF(ISNUMBER(
   IF(D_I="SI",(Datos!K18-Datos!U18)/Datos!U18,(Datos!K18+Datos!AE18-(Datos!U18+Datos!AM18))/(Datos!U18+Datos!AM18))
     ),IF(D_I="SI",(Datos!K18-Datos!U18)/Datos!U18,(Datos!K18+Datos!AE18-(Datos!U18+Datos!AM18))/(Datos!U18+Datos!AM18))," - ")</f>
        <v>-0.59529411764705886</v>
      </c>
      <c r="E18" s="515">
        <f>IF(ISNUMBER(
   IF(D_I="SI",(Datos!L18-Datos!V18)/Datos!V18,(Datos!L18+Datos!AF18-(Datos!V18+Datos!AN18))/(Datos!V18+Datos!AN18))
     ),IF(D_I="SI",(Datos!L18-Datos!V18)/Datos!V18,(Datos!L18+Datos!AF18-(Datos!V18+Datos!AN18))/(Datos!V18+Datos!AN18))," - ")</f>
        <v>-3.0769230769230771E-2</v>
      </c>
      <c r="F18" s="515">
        <f>IF(ISNUMBER((Datos!M18-Datos!W18)/Datos!W18),(Datos!M18-Datos!W18)/Datos!W18," - ")</f>
        <v>0.32142857142857145</v>
      </c>
      <c r="G18" s="516">
        <f>IF(ISNUMBER((Datos!N18-Datos!X18)/Datos!X18),(Datos!N18-Datos!X18)/Datos!X18," - ")</f>
        <v>-0.53303964757709255</v>
      </c>
      <c r="H18" s="514">
        <f>IF(ISNUMBER(((NºAsuntos!G18/NºAsuntos!E18)-Datos!BD18)/Datos!BD18),((NºAsuntos!G18/NºAsuntos!E18)-Datos!BD18)/Datos!BD18," - ")</f>
        <v>-0.48023068050749712</v>
      </c>
      <c r="I18" s="515">
        <f>IF(ISNUMBER(((NºAsuntos!I18/NºAsuntos!G18)-Datos!BE18)/Datos!BE18),((NºAsuntos!I18/NºAsuntos!G18)-Datos!BE18)/Datos!BE18," - ")</f>
        <v>1.3949016100178888</v>
      </c>
      <c r="J18" s="521">
        <f>IF(ISNUMBER((('Resol  Asuntos'!D18/NºAsuntos!G18)-Datos!BF18)/Datos!BF18),(('Resol  Asuntos'!D18/NºAsuntos!G18)-Datos!BF18)/Datos!BF18," - ")</f>
        <v>2.2651578073089698</v>
      </c>
      <c r="K18" s="522">
        <f>IF(ISNUMBER((((NºAsuntos!C18+NºAsuntos!E18)/NºAsuntos!G18)-Datos!BG18)/Datos!BG18),(((NºAsuntos!C18+NºAsuntos!E18)/NºAsuntos!G18)-Datos!BG18)/Datos!BG18," - ")</f>
        <v>0.84545666491810911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5.6197074672825253E-2</v>
      </c>
      <c r="C23" s="1152">
        <f>IF(ISNUMBER(
   IF(Criterios!B14="SI",(Datos!J23-Datos!T23)/Datos!T23,(Datos!J23+Datos!AD23-(Datos!T23+Datos!AL23))/(Datos!T23+Datos!AL23))
     ),IF(Criterios!B14="SI",(Datos!J23-Datos!T23)/Datos!T23,(Datos!J23+Datos!AD23-(Datos!T23+Datos!AL23))/(Datos!T23+Datos!AL23))," - ")</f>
        <v>8.9699359290290784E-2</v>
      </c>
      <c r="D23" s="1152">
        <f>IF(ISNUMBER(
   IF(Criterios!B14="SI",(Datos!K23-Datos!U23)/Datos!U23,(Datos!K23+Datos!AE23-(Datos!U23+Datos!AM23))/(Datos!U23+Datos!AM23))
     ),IF(Criterios!B14="SI",(Datos!K23-Datos!U23)/Datos!U23,(Datos!K23+Datos!AE23-(Datos!U23+Datos!AM23))/(Datos!U23+Datos!AM23))," - ")</f>
        <v>5.5197792088316471E-3</v>
      </c>
      <c r="E23" s="1152">
        <f>IF(ISNUMBER(
   IF(Criterios!B14="SI",(Datos!L23-Datos!V23)/Datos!V23,(Datos!L23+Datos!AF23-(Datos!V23+Datos!AN23))/(Datos!V23+Datos!AN23))
     ),IF(Criterios!B14="SI",(Datos!L23-Datos!V23)/Datos!V23,(Datos!L23+Datos!AF23-(Datos!V23+Datos!AN23))/(Datos!V23+Datos!AN23))," - ")</f>
        <v>0.10104011887072809</v>
      </c>
      <c r="F23" s="1153">
        <f>IF(ISNUMBER((Datos!M23-Datos!W23)/Datos!W23),(Datos!M23-Datos!W23)/Datos!W23," - ")</f>
        <v>3.1460674157303373E-2</v>
      </c>
      <c r="G23" s="1154">
        <f>IF(ISNUMBER((Datos!N23-Datos!X23)/Datos!X23),(Datos!N23-Datos!X23)/Datos!X23," - ")</f>
        <v>-1.7887563884156729E-2</v>
      </c>
      <c r="H23" s="1154">
        <f>IF(ISNUMBER(((NºAsuntos!G23/NºAsuntos!E23)-Datos!BD23)/Datos!BD23),((NºAsuntos!G23/NºAsuntos!E23)-Datos!BD23)/Datos!BD23," - ")</f>
        <v>-7.7250279504875827E-2</v>
      </c>
      <c r="I23" s="1154">
        <f>IF(ISNUMBER(((NºAsuntos!I23/NºAsuntos!G23)-Datos!BE23)/Datos!BE23),((NºAsuntos!I23/NºAsuntos!G23)-Datos!BE23)/Datos!BE23," - ")</f>
        <v>9.4995982811053536E-2</v>
      </c>
      <c r="J23" s="1154">
        <f>IF(ISNUMBER((('Resol  Asuntos'!D23/NºAsuntos!G23)-Datos!BF23)/Datos!BF23),(('Resol  Asuntos'!D23/NºAsuntos!G23)-Datos!BF23)/Datos!BF23," - ")</f>
        <v>2.579849296339309E-2</v>
      </c>
      <c r="K23" s="1154">
        <f>IF(ISNUMBER((((NºAsuntos!C23+NºAsuntos!E23)/NºAsuntos!G23)-Datos!BG23)/Datos!BG23),(((NºAsuntos!C23+NºAsuntos!E23)/NºAsuntos!G23)-Datos!BG23)/Datos!BG23," - ")</f>
        <v>7.0712499560137934E-2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1.5462323471807031E-2</v>
      </c>
      <c r="C31" s="1092">
        <f>IF(ISNUMBER(
   IF(J_V="SI",(Datos!J31-Datos!T31)/Datos!T31,(Datos!J31+Datos!Z31-(Datos!T31+Datos!AH31))/(Datos!T31+Datos!AH31))
     ),IF(J_V="SI",(Datos!J31-Datos!T31)/Datos!T31,(Datos!J31+Datos!Z31-(Datos!T31+Datos!AH31))/(Datos!T31+Datos!AH31))," - ")</f>
        <v>0.1055678059536935</v>
      </c>
      <c r="D31" s="1092">
        <f>IF(ISNUMBER(
   IF(J_V="SI",(Datos!K31-Datos!U31)/Datos!U31,(Datos!K31+Datos!AA31-(Datos!U31+Datos!AI31))/(Datos!U31+Datos!AI31))
     ),IF(J_V="SI",(Datos!K31-Datos!U31)/Datos!U31,(Datos!K31+Datos!AA31-(Datos!U31+Datos!AI31))/(Datos!U31+Datos!AI31))," - ")</f>
        <v>3.7799791449426488E-2</v>
      </c>
      <c r="E31" s="1092">
        <f>IF(ISNUMBER(
   IF(J_V="SI",(Datos!L31-Datos!V31)/Datos!V31,(Datos!L31+Datos!AB31-(Datos!V31+Datos!AJ31))/(Datos!V31+Datos!AJ31))
     ),IF(J_V="SI",(Datos!L31-Datos!V31)/Datos!V31,(Datos!L31+Datos!AB31-(Datos!V31+Datos!AJ31))/(Datos!V31+Datos!AJ31))," - ")</f>
        <v>2.9013939081053174E-2</v>
      </c>
      <c r="F31" s="1093">
        <f>IF(ISNUMBER((Datos!M31-Datos!W31)/Datos!W31),(Datos!M31-Datos!W31)/Datos!W31," - ")</f>
        <v>-1.1668611435239206E-2</v>
      </c>
      <c r="G31" s="1094">
        <f>IF(ISNUMBER((Datos!N31-Datos!X31)/Datos!X31),(Datos!N31-Datos!X31)/Datos!X31," - ")</f>
        <v>4.3315508021390371E-2</v>
      </c>
      <c r="H31" s="1095">
        <f>IF(ISNUMBER((Tasas!B31-Datos!BD31)/Datos!BD31),(Tasas!B31-Datos!BD31)/Datos!BD31," - ")</f>
        <v>-6.129702234392443E-2</v>
      </c>
      <c r="I31" s="1096">
        <f>IF(ISNUMBER((Tasas!C31-Datos!BE31)/Datos!BE31),(Tasas!C31-Datos!BE31)/Datos!BE31," - ")</f>
        <v>-8.4658451859029663E-3</v>
      </c>
      <c r="J31" s="1097">
        <f>IF(ISNUMBER((Tasas!D31-Datos!BF31)/Datos!BF31),(Tasas!D31-Datos!BF31)/Datos!BF31," - ")</f>
        <v>-0.28844837739506773</v>
      </c>
      <c r="K31" s="1097">
        <f>IF(ISNUMBER((Tasas!E31-Datos!BG31)/Datos!BG31),(Tasas!E31-Datos!BG31)/Datos!BG31," - ")</f>
        <v>2.108503651026431E-3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M29FUMRsal9G0RJvjL6FhxnnVgDGJ7PSIQ1TPN8UwWooyf0eWczB9iCIGAwX1I0HazyTEax6zgzS/Y2aPi/tQ==" saltValue="BD5CTBbiDo7FQc5p1mFT3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TORREVIEJA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0.99437253798536862</v>
      </c>
      <c r="C9" s="498">
        <f>IF(ISNUMBER(NºAsuntos!I9/NºAsuntos!G9),NºAsuntos!I9/NºAsuntos!G9," - ")</f>
        <v>4.763440860215054</v>
      </c>
      <c r="D9" s="499">
        <f>IF(ISNUMBER('Resol  Asuntos'!D9/NºAsuntos!G9),'Resol  Asuntos'!D9/NºAsuntos!G9," - ")</f>
        <v>0.21958121109224674</v>
      </c>
      <c r="E9" s="500">
        <f>IF(ISNUMBER((NºAsuntos!C9+NºAsuntos!E9)/NºAsuntos!G9),(NºAsuntos!C9+NºAsuntos!E9)/NºAsuntos!G9," - ")</f>
        <v>5.763440860215054</v>
      </c>
      <c r="G9" s="523"/>
    </row>
    <row r="10" spans="1:7">
      <c r="A10" s="450" t="str">
        <f>Datos!A10</f>
        <v>Jdos. Violencia contra la mujer</v>
      </c>
      <c r="B10" s="497">
        <f>IF(ISNUMBER(NºAsuntos!G10/NºAsuntos!E10),NºAsuntos!G10/NºAsuntos!E10," - ")</f>
        <v>1.2173913043478262</v>
      </c>
      <c r="C10" s="498">
        <f>IF(ISNUMBER(NºAsuntos!I10/NºAsuntos!G10),NºAsuntos!I10/NºAsuntos!G10," - ")</f>
        <v>2.3928571428571428</v>
      </c>
      <c r="D10" s="499">
        <f>IF(ISNUMBER('Resol  Asuntos'!D10/NºAsuntos!G10),'Resol  Asuntos'!D10/NºAsuntos!G10," - ")</f>
        <v>0</v>
      </c>
      <c r="E10" s="500">
        <f>IF(ISNUMBER((NºAsuntos!C10+NºAsuntos!E10)/NºAsuntos!G10),(NºAsuntos!C10+NºAsuntos!E10)/NºAsuntos!G10," - ")</f>
        <v>3.3928571428571428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0.99722222222222223</v>
      </c>
      <c r="C14" s="1156">
        <f>IF(ISNUMBER(NºAsuntos!I14/NºAsuntos!G14),NºAsuntos!I14/NºAsuntos!G14," - ")</f>
        <v>4.7264623955431757</v>
      </c>
      <c r="D14" s="1157">
        <f>IF(ISNUMBER('Resol  Asuntos'!D14/NºAsuntos!G14),'Resol  Asuntos'!D14/NºAsuntos!G14," - ")</f>
        <v>0.21615598885793871</v>
      </c>
      <c r="E14" s="1158">
        <f>IF(ISNUMBER((NºAsuntos!C14+NºAsuntos!E14)/NºAsuntos!G14),(NºAsuntos!C14+NºAsuntos!E14)/NºAsuntos!G14," - ")</f>
        <v>5.7264623955431757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1.0029895366218236</v>
      </c>
      <c r="C16" s="498">
        <f>IF(ISNUMBER(NºAsuntos!I16/NºAsuntos!G16),NºAsuntos!I16/NºAsuntos!G16," - ")</f>
        <v>0.66616989567809237</v>
      </c>
      <c r="D16" s="499">
        <f>IF(ISNUMBER('Resol  Asuntos'!D16/NºAsuntos!G16),'Resol  Asuntos'!D16/NºAsuntos!G16," - ")</f>
        <v>0.19125683060109289</v>
      </c>
      <c r="E16" s="500">
        <f>IF(ISNUMBER((NºAsuntos!C16+NºAsuntos!E16)/NºAsuntos!G16),(NºAsuntos!C16+NºAsuntos!E16)/NºAsuntos!G16," - ")</f>
        <v>1.6239443616492797</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15</v>
      </c>
      <c r="D17" s="499">
        <f>IF(ISNUMBER('Resol  Asuntos'!D17/NºAsuntos!G17),'Resol  Asuntos'!D17/NºAsuntos!G17," - ")</f>
        <v>0</v>
      </c>
      <c r="E17" s="500">
        <f>IF(ISNUMBER((NºAsuntos!C17+NºAsuntos!E17)/NºAsuntos!G17),(NºAsuntos!C17+NºAsuntos!E17)/NºAsuntos!G17," - ")</f>
        <v>16</v>
      </c>
      <c r="G17" s="523"/>
    </row>
    <row r="18" spans="1:7">
      <c r="A18" s="450" t="str">
        <f>Datos!A18</f>
        <v>Jdos. Violencia contra la mujer</v>
      </c>
      <c r="B18" s="497">
        <f>IF(ISNUMBER(NºAsuntos!G18/NºAsuntos!E18),NºAsuntos!G18/NºAsuntos!E18," - ")</f>
        <v>0.84313725490196079</v>
      </c>
      <c r="C18" s="498">
        <f>IF(ISNUMBER(NºAsuntos!I18/NºAsuntos!G18),NºAsuntos!I18/NºAsuntos!G18," - ")</f>
        <v>0.73255813953488369</v>
      </c>
      <c r="D18" s="499">
        <f>IF(ISNUMBER('Resol  Asuntos'!D18/NºAsuntos!G18),'Resol  Asuntos'!D18/NºAsuntos!G18," - ")</f>
        <v>0.43023255813953487</v>
      </c>
      <c r="E18" s="500">
        <f>IF(ISNUMBER((NºAsuntos!C18+NºAsuntos!E18)/NºAsuntos!G18),(NºAsuntos!C18+NºAsuntos!E18)/NºAsuntos!G18," - ")</f>
        <v>1.7325581395348837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0.98869289914066039</v>
      </c>
      <c r="C23" s="1156">
        <f>IF(ISNUMBER(NºAsuntos!I23/NºAsuntos!G23),NºAsuntos!I23/NºAsuntos!G23," - ")</f>
        <v>0.67795059469350416</v>
      </c>
      <c r="D23" s="1159">
        <f>IF(ISNUMBER('Resol  Asuntos'!D23/NºAsuntos!G23),'Resol  Asuntos'!D23/NºAsuntos!G23," - ")</f>
        <v>0.20997255260750228</v>
      </c>
      <c r="E23" s="1158">
        <f>IF(ISNUMBER((NºAsuntos!C23+NºAsuntos!E23)/NºAsuntos!G23),(NºAsuntos!C23+NºAsuntos!E23)/NºAsuntos!G23," - ")</f>
        <v>1.6390667886550778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0.99252056843679881</v>
      </c>
      <c r="C31" s="1099">
        <f>IF(ISNUMBER(NºAsuntos!I31/NºAsuntos!G31),NºAsuntos!I31/NºAsuntos!G31," - ")</f>
        <v>2.5033911077618689</v>
      </c>
      <c r="D31" s="1100">
        <f>IF(ISNUMBER('Resol  Asuntos'!D31/NºAsuntos!G31),'Resol  Asuntos'!D31/NºAsuntos!G31," - ")</f>
        <v>0.21276061291132881</v>
      </c>
      <c r="E31" s="1101">
        <f>IF(ISNUMBER((NºAsuntos!C31+NºAsuntos!E31)/NºAsuntos!G31),(NºAsuntos!C31+NºAsuntos!E31)/NºAsuntos!G31," - ")</f>
        <v>3.4820396885204721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XYR6v0kxLP1GwHkIpNTkuO4fdIu8cu2RPbLCVaF79/pI1JnrC1KoKKVece8lDZsxO0LBFATl59OWJD+57lgQA==" saltValue="2BLuIrOJtQ2q0a3swAxU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TORREVIEJA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410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337</v>
      </c>
      <c r="Y9" s="374">
        <f>SUM(W9:X9)</f>
        <v>337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7751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388</v>
      </c>
      <c r="AJ9" s="243" t="str">
        <f>IF(ISNUMBER(Datos!BW9),Datos!BW9," - ")</f>
        <v xml:space="preserve"> - </v>
      </c>
      <c r="AK9" s="242" t="str">
        <f>IF(ISNUMBER(Datos!BX9),Datos!BX9," - ")</f>
        <v xml:space="preserve"> - </v>
      </c>
      <c r="AL9" s="266">
        <f>IF(ISNUMBER(NºAsuntos!G9/NºAsuntos!E9),NºAsuntos!G9/NºAsuntos!E9," - ")</f>
        <v>0.99437253798536862</v>
      </c>
      <c r="AM9" s="284">
        <f>IF(ISNUMBER(((NºAsuntos!I9/NºAsuntos!G9)*11)/factor_trimestre),((NºAsuntos!I9/NºAsuntos!G9)*11)/factor_trimestre," - ")</f>
        <v>14.290322580645162</v>
      </c>
      <c r="AN9" s="267">
        <f>IF(ISNUMBER('Resol  Asuntos'!D9/NºAsuntos!G9),'Resol  Asuntos'!D9/NºAsuntos!G9," - ")</f>
        <v>0.21958121109224674</v>
      </c>
      <c r="AO9" s="268">
        <f>IF(ISNUMBER((NºAsuntos!C9+NºAsuntos!E9)/NºAsuntos!G9),(NºAsuntos!C9+NºAsuntos!E9)/NºAsuntos!G9," - ")</f>
        <v>5.763440860215054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18</v>
      </c>
      <c r="Y10" s="374">
        <f t="shared" ref="Y10:Y13" si="0">SUM(W10:X10)</f>
        <v>46</v>
      </c>
      <c r="Z10" s="375" t="str">
        <f>IF(ISNUMBER(Datos!CC10),Datos!CC10," - ")</f>
        <v xml:space="preserve"> - </v>
      </c>
      <c r="AA10" s="372">
        <f>IF(ISNUMBER(Datos!L10),Datos!L10,"-")</f>
        <v>67</v>
      </c>
      <c r="AB10" s="374">
        <f>IF(ISNUMBER(Datos!R10),Datos!R10," - ")</f>
        <v>56</v>
      </c>
      <c r="AC10" s="374">
        <f t="shared" ref="AC10:AC13" si="1">IF(ISNUMBER(AA10+AB10),AA10+AB10," - ")</f>
        <v>123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1.2173913043478262</v>
      </c>
      <c r="AM10" s="284">
        <f>IF(ISNUMBER(((NºAsuntos!I10/NºAsuntos!G10)*11)/factor_trimestre),((NºAsuntos!I10/NºAsuntos!G10)*11)/factor_trimestre," - ")</f>
        <v>7.1785714285714279</v>
      </c>
      <c r="AN10" s="267">
        <f>IF(ISNUMBER('Resol  Asuntos'!D10/NºAsuntos!G10),'Resol  Asuntos'!D10/NºAsuntos!G10," - ")</f>
        <v>0</v>
      </c>
      <c r="AO10" s="268">
        <f>IF(ISNUMBER((NºAsuntos!C10+NºAsuntos!E10)/NºAsuntos!G10),(NºAsuntos!C10+NºAsuntos!E10)/NºAsuntos!G10," - ")</f>
        <v>3.3928571428571428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72</v>
      </c>
      <c r="G14" s="1163">
        <f t="shared" si="5"/>
        <v>72</v>
      </c>
      <c r="H14" s="1162">
        <f t="shared" si="5"/>
        <v>0</v>
      </c>
      <c r="I14" s="1164">
        <f t="shared" si="5"/>
        <v>0</v>
      </c>
      <c r="J14" s="1164">
        <f t="shared" si="5"/>
        <v>0</v>
      </c>
      <c r="K14" s="1164">
        <f t="shared" si="5"/>
        <v>0</v>
      </c>
      <c r="L14" s="1164">
        <f t="shared" si="5"/>
        <v>419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355</v>
      </c>
      <c r="Y14" s="1165">
        <f t="shared" si="6"/>
        <v>383</v>
      </c>
      <c r="Z14" s="1165">
        <f t="shared" si="6"/>
        <v>0</v>
      </c>
      <c r="AA14" s="1165">
        <f t="shared" si="6"/>
        <v>67</v>
      </c>
      <c r="AB14" s="1165">
        <f t="shared" si="6"/>
        <v>7807</v>
      </c>
      <c r="AC14" s="1165">
        <f t="shared" si="6"/>
        <v>123</v>
      </c>
      <c r="AD14" s="1165">
        <f t="shared" si="6"/>
        <v>0</v>
      </c>
      <c r="AE14" s="1169">
        <f t="shared" si="6"/>
        <v>0</v>
      </c>
      <c r="AF14" s="1162">
        <f t="shared" si="6"/>
        <v>0</v>
      </c>
      <c r="AG14" s="1170">
        <f t="shared" si="6"/>
        <v>0</v>
      </c>
      <c r="AH14" s="1167">
        <f t="shared" si="6"/>
        <v>0</v>
      </c>
      <c r="AI14" s="1162">
        <f t="shared" si="6"/>
        <v>388</v>
      </c>
      <c r="AJ14" s="1164">
        <f t="shared" si="6"/>
        <v>0</v>
      </c>
      <c r="AK14" s="1167">
        <f>SUBTOTAL(9,AK9:AK13)</f>
        <v>0</v>
      </c>
      <c r="AL14" s="1171">
        <f>IF(ISNUMBER(NºAsuntos!G14/NºAsuntos!E14),NºAsuntos!G14/NºAsuntos!E14," - ")</f>
        <v>0.99722222222222223</v>
      </c>
      <c r="AM14" s="1171">
        <f>IF(ISNUMBER(((NºAsuntos!I14/NºAsuntos!G14)*11)/factor_trimestre),((NºAsuntos!I14/NºAsuntos!G14)*11)/factor_trimestre," - ")</f>
        <v>14.179387186629528</v>
      </c>
      <c r="AN14" s="1172">
        <f>IF(ISNUMBER('Resol  Asuntos'!D14/NºAsuntos!G14),'Resol  Asuntos'!D14/NºAsuntos!G14," - ")</f>
        <v>0.21615598885793871</v>
      </c>
      <c r="AO14" s="1173">
        <f>IF(ISNUMBER((NºAsuntos!C14+NºAsuntos!E14)/NºAsuntos!G14),(NºAsuntos!C14+NºAsuntos!E14)/NºAsuntos!G14," - ")</f>
        <v>5.7264623955431757</v>
      </c>
      <c r="AP14" s="1174" t="str">
        <f t="shared" si="2"/>
        <v xml:space="preserve"> - </v>
      </c>
      <c r="AQ14" s="1174">
        <f>IF(ISNUMBER((H14-W14+K14)/(F14)),(H14-W14+K14)/(F14)," - ")</f>
        <v>-0.3888888888888889</v>
      </c>
      <c r="AR14" s="1175">
        <f>IF(ISNUMBER((Datos!P14-Datos!Q14)/(Datos!R14-Datos!P14+Datos!Q14)),(Datos!P14-Datos!Q14)/(Datos!R14-Datos!P14+Datos!Q14)," - ")</f>
        <v>8.2655301562701792E-3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1347</v>
      </c>
      <c r="G16" s="373">
        <f>IF(ISNUMBER(IF(D_I="SI",Datos!I16,Datos!I16+Datos!AC16)),IF(D_I="SI",Datos!I16,Datos!I16+Datos!AC16)," - ")</f>
        <v>1262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2013</v>
      </c>
      <c r="X16" s="240">
        <f>IF(ISNUMBER(Datos!Q16),Datos!Q16," - ")</f>
        <v>84</v>
      </c>
      <c r="Y16" s="374">
        <f>SUM(W16)</f>
        <v>2013</v>
      </c>
      <c r="Z16" s="375" t="str">
        <f>IF(ISNUMBER(Datos!CC16),Datos!CC16," - ")</f>
        <v xml:space="preserve"> - </v>
      </c>
      <c r="AA16" s="372">
        <f>IF(ISNUMBER(IF(D_I="SI",Datos!L16,Datos!L16+Datos!AF16)),IF(D_I="SI",Datos!L16,Datos!L16+Datos!AF16)," - ")</f>
        <v>1341</v>
      </c>
      <c r="AB16" s="374">
        <f>IF(ISNUMBER(Datos!R16),Datos!R16," - ")</f>
        <v>304</v>
      </c>
      <c r="AC16" s="374">
        <f t="shared" ref="AC16:AC22" si="8">IF(ISNUMBER(AA16+AB16),AA16+AB16," - ")</f>
        <v>1645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385</v>
      </c>
      <c r="AJ16" s="245" t="str">
        <f>IF(ISNUMBER(Datos!BW16),Datos!BW16," - ")</f>
        <v xml:space="preserve"> - </v>
      </c>
      <c r="AK16" s="246" t="str">
        <f>IF(ISNUMBER(Datos!BX16),Datos!BX16," - ")</f>
        <v xml:space="preserve"> - </v>
      </c>
      <c r="AL16" s="266">
        <f>IF(ISNUMBER(NºAsuntos!G16/NºAsuntos!E16),NºAsuntos!G16/NºAsuntos!E16," - ")</f>
        <v>1.0029895366218236</v>
      </c>
      <c r="AM16" s="284">
        <f>IF(ISNUMBER(((NºAsuntos!I16/NºAsuntos!G16)*11)/factor_trimestre),((NºAsuntos!I16/NºAsuntos!G16)*11)/factor_trimestre," - ")</f>
        <v>1.9985096870342771</v>
      </c>
      <c r="AN16" s="267">
        <f>IF(ISNUMBER('Resol  Asuntos'!D16/NºAsuntos!G16),'Resol  Asuntos'!D16/NºAsuntos!G16," - ")</f>
        <v>0.19125683060109289</v>
      </c>
      <c r="AO16" s="268">
        <f>IF(ISNUMBER((NºAsuntos!C16+NºAsuntos!E16)/NºAsuntos!G16),(NºAsuntos!C16+NºAsuntos!E16)/NºAsuntos!G16," - ")</f>
        <v>1.6239443616492797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16</v>
      </c>
      <c r="G17" s="373">
        <f>IF(ISNUMBER(IF(D_I="SI",Datos!I17,Datos!I17+Datos!AC17)),IF(D_I="SI",Datos!I17,Datos!I17+Datos!AC17)," - ")</f>
        <v>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15</v>
      </c>
      <c r="AB17" s="374">
        <f>IF(ISNUMBER(Datos!R17),Datos!R17," - ")</f>
        <v>2</v>
      </c>
      <c r="AC17" s="374">
        <f t="shared" si="8"/>
        <v>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45</v>
      </c>
      <c r="AN17" s="267">
        <f>IF(ISNUMBER('Resol  Asuntos'!D17/NºAsuntos!G17),'Resol  Asuntos'!D17/NºAsuntos!G17," - ")</f>
        <v>0</v>
      </c>
      <c r="AO17" s="268">
        <f>IF(ISNUMBER((NºAsuntos!C17+NºAsuntos!E17)/NºAsuntos!G17),(NºAsuntos!C17+NºAsuntos!E17)/NºAsuntos!G17," - ")</f>
        <v>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172</v>
      </c>
      <c r="X18" s="240">
        <f>IF(ISNUMBER(Datos!Q18),Datos!Q18," - ")</f>
        <v>1</v>
      </c>
      <c r="Y18" s="374">
        <f t="shared" si="9"/>
        <v>173</v>
      </c>
      <c r="Z18" s="375" t="str">
        <f>IF(ISNUMBER(Datos!CC18),Datos!CC18," - ")</f>
        <v xml:space="preserve"> - </v>
      </c>
      <c r="AA18" s="372">
        <f>IF(ISNUMBER(Datos!L18),Datos!L18,"-")</f>
        <v>126</v>
      </c>
      <c r="AB18" s="374">
        <f>IF(ISNUMBER(Datos!R18),Datos!R18," - ")</f>
        <v>0</v>
      </c>
      <c r="AC18" s="374">
        <f t="shared" si="8"/>
        <v>126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74</v>
      </c>
      <c r="AJ18" s="245" t="str">
        <f>IF(ISNUMBER(Datos!BW18),Datos!BW18," - ")</f>
        <v xml:space="preserve"> - </v>
      </c>
      <c r="AK18" s="246" t="str">
        <f>IF(ISNUMBER(Datos!BX18),Datos!BX18," - ")</f>
        <v xml:space="preserve"> - </v>
      </c>
      <c r="AL18" s="266">
        <f>IF(ISNUMBER(NºAsuntos!G18/NºAsuntos!E18),NºAsuntos!G18/NºAsuntos!E18," - ")</f>
        <v>0.84313725490196079</v>
      </c>
      <c r="AM18" s="284">
        <f>IF(ISNUMBER(((NºAsuntos!I18/NºAsuntos!G18)*11)/factor_trimestre),((NºAsuntos!I18/NºAsuntos!G18)*11)/factor_trimestre," - ")</f>
        <v>2.1976744186046511</v>
      </c>
      <c r="AN18" s="267">
        <f>IF(ISNUMBER('Resol  Asuntos'!D18/NºAsuntos!G18),'Resol  Asuntos'!D18/NºAsuntos!G18," - ")</f>
        <v>0.43023255813953487</v>
      </c>
      <c r="AO18" s="268">
        <f>IF(ISNUMBER((NºAsuntos!C18+NºAsuntos!E18)/NºAsuntos!G18),(NºAsuntos!C18+NºAsuntos!E18)/NºAsuntos!G18," - ")</f>
        <v>1.7325581395348837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1363</v>
      </c>
      <c r="G23" s="1163">
        <f>SUBTOTAL(9,G16:G22)</f>
        <v>1372</v>
      </c>
      <c r="H23" s="1162">
        <f t="shared" ref="H23:O23" si="13">SUBTOTAL(9,H15:H22)</f>
        <v>0</v>
      </c>
      <c r="I23" s="1164">
        <f t="shared" si="13"/>
        <v>0</v>
      </c>
      <c r="J23" s="1164">
        <f t="shared" si="13"/>
        <v>0</v>
      </c>
      <c r="K23" s="1164">
        <f t="shared" si="13"/>
        <v>0</v>
      </c>
      <c r="L23" s="1164">
        <f t="shared" si="13"/>
        <v>77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2186</v>
      </c>
      <c r="X23" s="1164">
        <f t="shared" si="14"/>
        <v>85</v>
      </c>
      <c r="Y23" s="1165">
        <f t="shared" si="14"/>
        <v>2187</v>
      </c>
      <c r="Z23" s="1165">
        <f t="shared" si="14"/>
        <v>0</v>
      </c>
      <c r="AA23" s="1165">
        <f t="shared" si="14"/>
        <v>1482</v>
      </c>
      <c r="AB23" s="1165">
        <f t="shared" si="14"/>
        <v>306</v>
      </c>
      <c r="AC23" s="1165">
        <f t="shared" si="14"/>
        <v>1788</v>
      </c>
      <c r="AD23" s="1165">
        <f t="shared" si="14"/>
        <v>0</v>
      </c>
      <c r="AE23" s="1169">
        <f t="shared" si="14"/>
        <v>0</v>
      </c>
      <c r="AF23" s="1162">
        <f t="shared" si="14"/>
        <v>0</v>
      </c>
      <c r="AG23" s="1170">
        <f t="shared" si="14"/>
        <v>0</v>
      </c>
      <c r="AH23" s="1167">
        <f t="shared" si="14"/>
        <v>0</v>
      </c>
      <c r="AI23" s="1162">
        <f t="shared" si="14"/>
        <v>459</v>
      </c>
      <c r="AJ23" s="1164">
        <f t="shared" si="14"/>
        <v>0</v>
      </c>
      <c r="AK23" s="1167">
        <f t="shared" si="14"/>
        <v>0</v>
      </c>
      <c r="AL23" s="1171">
        <f>IF(ISNUMBER(NºAsuntos!G23/NºAsuntos!E23),NºAsuntos!G23/NºAsuntos!E23," - ")</f>
        <v>0.98869289914066039</v>
      </c>
      <c r="AM23" s="1171">
        <f>IF(ISNUMBER(((NºAsuntos!I23/NºAsuntos!G23)*11)/factor_trimestre),((NºAsuntos!I23/NºAsuntos!G23)*11)/factor_trimestre," - ")</f>
        <v>2.0338517840805128</v>
      </c>
      <c r="AN23" s="1172">
        <f>IF(ISNUMBER('Resol  Asuntos'!D23/NºAsuntos!G23),'Resol  Asuntos'!D23/NºAsuntos!G23," - ")</f>
        <v>0.20997255260750228</v>
      </c>
      <c r="AO23" s="1173">
        <f>IF(ISNUMBER((NºAsuntos!C23+NºAsuntos!E23)/NºAsuntos!G23),(NºAsuntos!C23+NºAsuntos!E23)/NºAsuntos!G23," - ")</f>
        <v>1.6390667886550778</v>
      </c>
      <c r="AP23" s="1174" t="str">
        <f t="shared" si="2"/>
        <v xml:space="preserve"> - </v>
      </c>
      <c r="AQ23" s="1174">
        <f>IF(ISNUMBER((H23-W23+K23)/(F23)),(H23-W23+K23)/(F23)," - ")</f>
        <v>-1.6038151137197358</v>
      </c>
      <c r="AR23" s="1175">
        <f>IF(ISNUMBER((Datos!P23-Datos!Q23)/(Datos!R23-Datos!P23+Datos!Q23)),(Datos!P23-Datos!Q23)/(Datos!R23-Datos!P23+Datos!Q23)," - ")</f>
        <v>-2.5477707006369428E-2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1435</v>
      </c>
      <c r="G31" s="1118">
        <f t="shared" si="20"/>
        <v>1444</v>
      </c>
      <c r="H31" s="1117">
        <f t="shared" si="20"/>
        <v>0</v>
      </c>
      <c r="I31" s="1119">
        <f t="shared" si="20"/>
        <v>0</v>
      </c>
      <c r="J31" s="1119">
        <f t="shared" si="20"/>
        <v>0</v>
      </c>
      <c r="K31" s="1180">
        <f t="shared" si="20"/>
        <v>0</v>
      </c>
      <c r="L31" s="1119">
        <f t="shared" si="20"/>
        <v>496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2214</v>
      </c>
      <c r="X31" s="1118">
        <f t="shared" si="21"/>
        <v>440</v>
      </c>
      <c r="Y31" s="1125">
        <f t="shared" si="21"/>
        <v>2570</v>
      </c>
      <c r="Z31" s="1125">
        <f t="shared" si="21"/>
        <v>0</v>
      </c>
      <c r="AA31" s="1125">
        <f t="shared" si="21"/>
        <v>1549</v>
      </c>
      <c r="AB31" s="1125">
        <f t="shared" si="21"/>
        <v>8113</v>
      </c>
      <c r="AC31" s="1125">
        <f t="shared" si="21"/>
        <v>1911</v>
      </c>
      <c r="AD31" s="1125">
        <f t="shared" si="21"/>
        <v>0</v>
      </c>
      <c r="AE31" s="1127">
        <f t="shared" si="21"/>
        <v>0</v>
      </c>
      <c r="AF31" s="1128">
        <f t="shared" si="21"/>
        <v>0</v>
      </c>
      <c r="AG31" s="1129">
        <f t="shared" si="21"/>
        <v>0</v>
      </c>
      <c r="AH31" s="1127">
        <f t="shared" si="21"/>
        <v>0</v>
      </c>
      <c r="AI31" s="1117">
        <f t="shared" si="21"/>
        <v>847</v>
      </c>
      <c r="AJ31" s="1117">
        <f t="shared" si="21"/>
        <v>0</v>
      </c>
      <c r="AK31" s="1127">
        <f t="shared" si="21"/>
        <v>0</v>
      </c>
      <c r="AL31" s="1183">
        <f>IF(ISNUMBER(NºAsuntos!G31/NºAsuntos!E31),NºAsuntos!G31/NºAsuntos!E31," - ")</f>
        <v>0.99252056843679881</v>
      </c>
      <c r="AM31" s="1184">
        <f>IF(ISNUMBER(((NºAsuntos!I31/NºAsuntos!G31)*11)/factor_trimestre),((NºAsuntos!I31/NºAsuntos!G31)*11)/factor_trimestre," - ")</f>
        <v>7.5101733232856072</v>
      </c>
      <c r="AN31" s="1184">
        <f>IF(ISNUMBER('Resol  Asuntos'!D31/NºAsuntos!G31),'Resol  Asuntos'!D31/NºAsuntos!G31," - ")</f>
        <v>0.21276061291132881</v>
      </c>
      <c r="AO31" s="1185">
        <f>IF(ISNUMBER((NºAsuntos!C31+NºAsuntos!E31)/NºAsuntos!G31),(NºAsuntos!C31+NºAsuntos!E31)/NºAsuntos!G31," - ")</f>
        <v>3.4820396885204721</v>
      </c>
      <c r="AP31" s="1186" t="str">
        <f t="shared" si="2"/>
        <v xml:space="preserve"> - </v>
      </c>
      <c r="AQ31" s="1187">
        <f>IF(OR(ISNUMBER(FIND("01",Criterios!A8,1)),ISNUMBER(FIND("02",Criterios!A8,1)),ISNUMBER(FIND("03",Criterios!A8,1)),ISNUMBER(FIND("04",Criterios!A8,1))),(I31-W31+K31)/(F31-K31),(H31-W31+K31)/(F31-K31))</f>
        <v>-1.5428571428571429</v>
      </c>
      <c r="AR31" s="1188">
        <f>IF(ISNUMBER((Datos!P31-Datos!Q31)/(Datos!R31-Datos!P31+Datos!Q31)),(Datos!P31-Datos!Q31)/(Datos!R31-Datos!P31+Datos!Q31)," - ")</f>
        <v>6.9504778453518675E-3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646.28450907217848</v>
      </c>
      <c r="G33" s="277">
        <f>IF(ISNUMBER(STDEV(G8:G30)),STDEV(G8:G30),"-")</f>
        <v>591.83974664961943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957.00574710918011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208.15305533295552</v>
      </c>
      <c r="AJ33" s="276">
        <f t="shared" si="25"/>
        <v>0</v>
      </c>
      <c r="AK33" s="278">
        <f t="shared" si="25"/>
        <v>0</v>
      </c>
      <c r="AL33" s="273">
        <f t="shared" si="25"/>
        <v>0.11976748157256875</v>
      </c>
      <c r="AM33" s="274">
        <f t="shared" si="25"/>
        <v>15.364989723153059</v>
      </c>
      <c r="AN33" s="274">
        <f t="shared" si="25"/>
        <v>0.14793462922968839</v>
      </c>
      <c r="AO33" s="275">
        <f t="shared" si="25"/>
        <v>5.1308395796462083</v>
      </c>
      <c r="AP33" s="317" t="str">
        <f t="shared" si="25"/>
        <v>-</v>
      </c>
      <c r="AQ33" s="318">
        <f t="shared" si="25"/>
        <v>0.85908257221926398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pWeR9OxJ7azM/FwcEvYVaZFBXdjJ1hhqVVgHAiHcvbe38VdeKQLJyBBvok7KONzYVlxH7rAqklzTe8pip79YQ==" saltValue="ynCs/EGwxoeM0WNcnBUC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TORREVIEJA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-2.0202020202020204E-2</v>
      </c>
      <c r="I9" s="395">
        <f>IF(ISNUMBER((Tasas!C9-Datos!BE9)/Datos!BE9),(Tasas!C9-Datos!BE9)/Datos!BE9," - ")</f>
        <v>-5.6670030956684089E-2</v>
      </c>
      <c r="J9" s="394">
        <f>IF(ISNUMBER((Tasas!D9-Datos!BF9)/Datos!BF9),(Tasas!D9-Datos!BF9)/Datos!BF9," - ")</f>
        <v>-0.47729428904717358</v>
      </c>
      <c r="K9" s="396">
        <f>IF(ISNUMBER((Tasas!E9-Datos!BG9)/Datos!BG9),(Tasas!E9-Datos!BG9)/Datos!BG9," - ")</f>
        <v>-4.7302467382206399E-2</v>
      </c>
      <c r="M9" t="e">
        <f>IF(Monitorios="SI",Datos!CE9,0)</f>
        <v>#REF!</v>
      </c>
      <c r="N9" t="e">
        <f>IF(Monitorios="SI",Datos!CF9,0)</f>
        <v>#REF!</v>
      </c>
      <c r="O9" t="e">
        <f>IF(Monitorios="SI",Datos!CG9,0)</f>
        <v>#REF!</v>
      </c>
      <c r="P9" t="e">
        <f>IF(Monitorios="SI",Datos!CH9,0)</f>
        <v>#REF!</v>
      </c>
      <c r="Q9">
        <f>IF(J_V="SI",0,Datos!AG9)</f>
        <v>250</v>
      </c>
      <c r="R9">
        <f>IF(J_V="SI",0,Datos!AH9)</f>
        <v>131</v>
      </c>
      <c r="S9">
        <f>IF(J_V="SI",0,Datos!AI9)</f>
        <v>93</v>
      </c>
      <c r="T9">
        <f>IF(J_V="SI",0,Datos!AJ9)</f>
        <v>288</v>
      </c>
    </row>
    <row r="10" spans="2:20" ht="14.25">
      <c r="B10" s="300" t="s">
        <v>321</v>
      </c>
      <c r="C10" s="7" t="str">
        <f>Datos!A10</f>
        <v>Jdos. Violencia contra la mujer</v>
      </c>
      <c r="D10" s="397">
        <f>IF(ISNUMBER((Datos!I10-Datos!S10)/Datos!S10),(Datos!I10-Datos!S10)/Datos!S10," - ")</f>
        <v>-0.21739130434782608</v>
      </c>
      <c r="E10" s="393">
        <f>IF(ISNUMBER((Datos!J10-Datos!T10)/Datos!T10),(Datos!J10-Datos!T10)/Datos!T10," - ")</f>
        <v>-0.23333333333333334</v>
      </c>
      <c r="F10" s="393">
        <f>IF(ISNUMBER((Datos!K10-Datos!U10)/Datos!U10),(Datos!K10-Datos!U10)/Datos!U10," - ")</f>
        <v>-3.4482758620689655E-2</v>
      </c>
      <c r="G10" s="394">
        <f>IF(ISNUMBER((Datos!L10-Datos!V10)/Datos!V10),(Datos!L10-Datos!V10)/Datos!V10," - ")</f>
        <v>-0.27956989247311825</v>
      </c>
      <c r="H10" s="244">
        <f>IF(ISNUMBER((Datos!M10-Datos!W10)/Datos!W10),(Datos!M10-Datos!W10)/Datos!W10," - ")</f>
        <v>-1</v>
      </c>
      <c r="I10" s="395">
        <f>IF(ISNUMBER((Tasas!C10-Datos!BE10)/Datos!BE10),(Tasas!C10-Datos!BE10)/Datos!BE10," - ")</f>
        <v>-0.25384024577572967</v>
      </c>
      <c r="J10" s="394">
        <f>IF(ISNUMBER((Tasas!D10-Datos!BF10)/Datos!BF10),(Tasas!D10-Datos!BF10)/Datos!BF10," - ")</f>
        <v>-1</v>
      </c>
      <c r="K10" s="396">
        <f>IF(ISNUMBER((Tasas!E10-Datos!BG10)/Datos!BG10),(Tasas!E10-Datos!BG10)/Datos!BG10," - ")</f>
        <v>-0.19350117096018737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-5.8252427184466021E-2</v>
      </c>
      <c r="I14" s="402">
        <f>IF(ISNUMBER((Tasas!C14-Datos!BE14)/Datos!BE14),(Tasas!C14-Datos!BE14)/Datos!BE14," - ")</f>
        <v>-5.7994903298625909E-2</v>
      </c>
      <c r="J14" s="400">
        <f>IF(ISNUMBER((Tasas!D14-Datos!BF14)/Datos!BF14),(Tasas!D14-Datos!BF14)/Datos!BF14," - ")</f>
        <v>-0.48824607766111944</v>
      </c>
      <c r="K14" s="403">
        <f>IF(ISNUMBER((Tasas!E14-Datos!BG14)/Datos!BG14),(Tasas!E14-Datos!BG14)/Datos!BG14," - ")</f>
        <v>-4.835711414930921E-2</v>
      </c>
      <c r="M14" t="e">
        <f>IF(Monitorios="SI",Datos!CE14,0)</f>
        <v>#REF!</v>
      </c>
      <c r="N14" t="e">
        <f>IF(Monitorios="SI",Datos!CF14,0)</f>
        <v>#REF!</v>
      </c>
      <c r="O14" t="e">
        <f>IF(Monitorios="SI",Datos!CG14,0)</f>
        <v>#REF!</v>
      </c>
      <c r="P14" t="e">
        <f>IF(Monitorios="SI",Datos!CH14,0)</f>
        <v>#REF!</v>
      </c>
      <c r="Q14">
        <f>IF(J_V="SI",0,Datos!AG14)</f>
        <v>250</v>
      </c>
      <c r="R14">
        <f>IF(J_V="SI",0,Datos!AH14)</f>
        <v>131</v>
      </c>
      <c r="S14">
        <f>IF(J_V="SI",0,Datos!AI14)</f>
        <v>93</v>
      </c>
      <c r="T14">
        <f>IF(J_V="SI",0,Datos!AJ14)</f>
        <v>288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0.1012216404886562</v>
      </c>
      <c r="E16" s="393">
        <f>IF(ISNUMBER(
   IF(D_I="SI",(Datos!J16-Datos!T16)/Datos!T16,(Datos!J16+Datos!AD16-(Datos!T16+Datos!AL16))/(Datos!T16+Datos!AL16))
     ),IF(D_I="SI",(Datos!J16-Datos!T16)/Datos!T16,(Datos!J16+Datos!AD16-(Datos!T16+Datos!AL16))/(Datos!T16+Datos!AL16))," - ")</f>
        <v>0.13582342954159593</v>
      </c>
      <c r="F16" s="393">
        <f>IF(ISNUMBER(
   IF(D_I="SI",(Datos!K16-Datos!U16)/Datos!U16,(Datos!K16+Datos!AE16-(Datos!U16+Datos!AM16))/(Datos!U16+Datos!AM16))
     ),IF(D_I="SI",(Datos!K16-Datos!U16)/Datos!U16,(Datos!K16+Datos!AE16-(Datos!U16+Datos!AM16))/(Datos!U16+Datos!AM16))," - ")</f>
        <v>0.15094339622641509</v>
      </c>
      <c r="G16" s="394">
        <f>IF(ISNUMBER(
   IF(D_I="SI",(Datos!L16-Datos!V16)/Datos!V16,(Datos!L16+Datos!AF16-(Datos!V16+Datos!AN16))/(Datos!V16+Datos!AN16))
     ),IF(D_I="SI",(Datos!L16-Datos!V16)/Datos!V16,(Datos!L16+Datos!AF16-(Datos!V16+Datos!AN16))/(Datos!V16+Datos!AN16))," - ")</f>
        <v>0.11749999999999999</v>
      </c>
      <c r="H16" s="244">
        <f>IF(ISNUMBER((Datos!M16-Datos!W16)/Datos!W16),(Datos!M16-Datos!W16)/Datos!W16," - ")</f>
        <v>-1.0282776349614395E-2</v>
      </c>
      <c r="I16" s="395">
        <f>IF(ISNUMBER((Tasas!C16-Datos!BE16)/Datos!BE16),(Tasas!C16-Datos!BE16)/Datos!BE16," - ")</f>
        <v>-2.9057377049180325E-2</v>
      </c>
      <c r="J16" s="394">
        <f>IF(ISNUMBER((Tasas!D16-Datos!BF16)/Datos!BF16),(Tasas!D16-Datos!BF16)/Datos!BF16," - ")</f>
        <v>-0.14008175650048466</v>
      </c>
      <c r="K16" s="396">
        <f>IF(ISNUMBER((Tasas!E16-Datos!BG16)/Datos!BG16),(Tasas!E16-Datos!BG16)/Datos!BG16," - ")</f>
        <v>-2.4964404900586996E-2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-6.25E-2</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-0.31386861313868614</v>
      </c>
      <c r="E18" s="393">
        <f>IF(ISNUMBER(
   IF(D_I="SI",(Datos!J18-Datos!T18)/Datos!T18,(Datos!J18+Datos!AD18-(Datos!T18+Datos!AL18))/(Datos!T18+Datos!AL18))
     ),IF(D_I="SI",(Datos!J18-Datos!T18)/Datos!T18,(Datos!J18+Datos!AD18-(Datos!T18+Datos!AL18))/(Datos!T18+Datos!AL18))," - ")</f>
        <v>-0.22137404580152673</v>
      </c>
      <c r="F18" s="393">
        <f>IF(ISNUMBER(
   IF(D_I="SI",(Datos!K18-Datos!U18)/Datos!U18,(Datos!K18+Datos!AE18-(Datos!U18+Datos!AM18))/(Datos!U18+Datos!AM18))
     ),IF(D_I="SI",(Datos!K18-Datos!U18)/Datos!U18,(Datos!K18+Datos!AE18-(Datos!U18+Datos!AM18))/(Datos!U18+Datos!AM18))," - ")</f>
        <v>-0.59529411764705886</v>
      </c>
      <c r="G18" s="394">
        <f>IF(ISNUMBER(
   IF(D_I="SI",(Datos!L18-Datos!V18)/Datos!V18,(Datos!L18+Datos!AF18-(Datos!V18+Datos!AN18))/(Datos!V18+Datos!AN18))
     ),IF(D_I="SI",(Datos!L18-Datos!V18)/Datos!V18,(Datos!L18+Datos!AF18-(Datos!V18+Datos!AN18))/(Datos!V18+Datos!AN18))," - ")</f>
        <v>-3.0769230769230771E-2</v>
      </c>
      <c r="H18" s="244">
        <f>IF(ISNUMBER((Datos!M18-Datos!W18)/Datos!W18),(Datos!M18-Datos!W18)/Datos!W18," - ")</f>
        <v>0.32142857142857145</v>
      </c>
      <c r="I18" s="395">
        <f>IF(ISNUMBER((Tasas!C18-Datos!BE18)/Datos!BE18),(Tasas!C18-Datos!BE18)/Datos!BE18," - ")</f>
        <v>1.3949016100178888</v>
      </c>
      <c r="J18" s="394">
        <f>IF(ISNUMBER((Tasas!D18-Datos!BF18)/Datos!BF18),(Tasas!D18-Datos!BF18)/Datos!BF18," - ")</f>
        <v>2.2651578073089698</v>
      </c>
      <c r="K18" s="396">
        <f>IF(ISNUMBER((Tasas!E18-Datos!BG18)/Datos!BG18),(Tasas!E18-Datos!BG18)/Datos!BG18," - ")</f>
        <v>0.84545666491810911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5.6197074672825253E-2</v>
      </c>
      <c r="E23" s="399">
        <f>IF(ISNUMBER(
   IF(D_I="SI",(Datos!J23-Datos!T23)/Datos!T23,(Datos!J23+Datos!AD23-(Datos!T23+Datos!AL23))/(Datos!T23+Datos!AL23))
     ),IF(D_I="SI",(Datos!J23-Datos!T23)/Datos!T23,(Datos!J23+Datos!AD23-(Datos!T23+Datos!AL23))/(Datos!T23+Datos!AL23))," - ")</f>
        <v>8.9699359290290784E-2</v>
      </c>
      <c r="F23" s="399">
        <f>IF(ISNUMBER(
   IF(D_I="SI",(Datos!K23-Datos!U23)/Datos!U23,(Datos!K23+Datos!AE23-(Datos!U23+Datos!AM23))/(Datos!U23+Datos!AM23))
     ),IF(D_I="SI",(Datos!K23-Datos!U23)/Datos!U23,(Datos!K23+Datos!AE23-(Datos!U23+Datos!AM23))/(Datos!U23+Datos!AM23))," - ")</f>
        <v>5.5197792088316471E-3</v>
      </c>
      <c r="G23" s="400">
        <f>IF(ISNUMBER(
   IF(D_I="SI",(Datos!L23-Datos!V23)/Datos!V23,(Datos!L23+Datos!AF23-(Datos!V23+Datos!AN23))/(Datos!V23+Datos!AN23))
     ),IF(D_I="SI",(Datos!L23-Datos!V23)/Datos!V23,(Datos!L23+Datos!AF23-(Datos!V23+Datos!AN23))/(Datos!V23+Datos!AN23))," - ")</f>
        <v>0.10104011887072809</v>
      </c>
      <c r="H23" s="401">
        <f>IF(ISNUMBER((Datos!M23-Datos!W23)/Datos!W23),(Datos!M23-Datos!W23)/Datos!W23," - ")</f>
        <v>3.1460674157303373E-2</v>
      </c>
      <c r="I23" s="402">
        <f>IF(ISNUMBER((Tasas!C23-Datos!BE23)/Datos!BE23),(Tasas!C23-Datos!BE23)/Datos!BE23," - ")</f>
        <v>9.4995982811053536E-2</v>
      </c>
      <c r="J23" s="400">
        <f>IF(ISNUMBER((Tasas!D23-Datos!BF23)/Datos!BF23),(Tasas!D23-Datos!BF23)/Datos!BF23," - ")</f>
        <v>2.579849296339309E-2</v>
      </c>
      <c r="K23" s="403">
        <f>IF(ISNUMBER((Tasas!E23-Datos!BG23)/Datos!BG23),(Tasas!E23-Datos!BG23)/Datos!BG23," - ")</f>
        <v>7.0712499560137934E-2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1.5462323471807031E-2</v>
      </c>
      <c r="E31" s="409">
        <f>IF(ISNUMBER(
   IF(J_V="SI",(Datos!J31-Datos!T31)/Datos!T31,(Datos!J31+Datos!Z31-(Datos!T31+Datos!AH31))/(Datos!T31+Datos!AH31))
     ),IF(J_V="SI",(Datos!J31-Datos!T31)/Datos!T31,(Datos!J31+Datos!Z31-(Datos!T31+Datos!AH31))/(Datos!T31+Datos!AH31))," - ")</f>
        <v>0.1055678059536935</v>
      </c>
      <c r="F31" s="409">
        <f>IF(ISNUMBER(
   IF(J_V="SI",(Datos!K31-Datos!U31)/Datos!U31,(Datos!K31+Datos!AA31-(Datos!U31+Datos!AI31))/(Datos!U31+Datos!AI31))
     ),IF(J_V="SI",(Datos!K31-Datos!U31)/Datos!U31,(Datos!K31+Datos!AA31-(Datos!U31+Datos!AI31))/(Datos!U31+Datos!AI31))," - ")</f>
        <v>3.7799791449426488E-2</v>
      </c>
      <c r="G31" s="410">
        <f>IF(ISNUMBER(
   IF(J_V="SI",(Datos!L31-Datos!V31)/Datos!V31,(Datos!L31+Datos!AB31-(Datos!V31+Datos!AJ31))/(Datos!V31+Datos!AJ31))
     ),IF(J_V="SI",(Datos!L31-Datos!V31)/Datos!V31,(Datos!L31+Datos!AB31-(Datos!V31+Datos!AJ31))/(Datos!V31+Datos!AJ31))," - ")</f>
        <v>2.9013939081053174E-2</v>
      </c>
      <c r="H31" s="411">
        <f>IF(ISNUMBER((Datos!M31-Datos!W31)/Datos!W31),(Datos!M31-Datos!W31)/Datos!W31," - ")</f>
        <v>-1.1668611435239206E-2</v>
      </c>
      <c r="I31" s="408">
        <f>IF(ISNUMBER((Tasas!C31-Datos!BE31)/Datos!BE31),(Tasas!C31-Datos!BE31)/Datos!BE31," - ")</f>
        <v>-8.4658451859029663E-3</v>
      </c>
      <c r="J31" s="409">
        <f>IF(ISNUMBER((Tasas!D31-Datos!BF31)/Datos!BF31),(Tasas!D31-Datos!BF31)/Datos!BF31," - ")</f>
        <v>-0.28844837739506773</v>
      </c>
      <c r="K31" s="410">
        <f>IF(ISNUMBER((Tasas!E31-Datos!BG31)/Datos!BG31),(Tasas!E31-Datos!BG31)/Datos!BG31," - ")</f>
        <v>2.108503651026431E-3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0.18112493499894231</v>
      </c>
      <c r="E33" s="303">
        <f t="shared" si="1"/>
        <v>0.19732671517091055</v>
      </c>
      <c r="F33" s="303">
        <f t="shared" si="1"/>
        <v>0.32780688376198069</v>
      </c>
      <c r="G33" s="304">
        <f t="shared" si="1"/>
        <v>0.15989530903919386</v>
      </c>
      <c r="H33" s="310">
        <f t="shared" si="1"/>
        <v>0.45121345911670874</v>
      </c>
      <c r="I33" s="302">
        <f t="shared" si="1"/>
        <v>0.60460943912806264</v>
      </c>
      <c r="J33" s="303">
        <f t="shared" si="1"/>
        <v>1.1499302266311724</v>
      </c>
      <c r="K33" s="304">
        <f t="shared" si="1"/>
        <v>0.37470777699111252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xwbnH9YDQEh75yRsA7j0jomd2CoBWXdA6dc5IOpphpfUMIVBjTJoYEgvnz1HDcDoEABQ5PrjvoRp/1NUiPphw==" saltValue="slJN0cFSap4eBruprUs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